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 tabRatio="823" firstSheet="9" activeTab="25"/>
  </bookViews>
  <sheets>
    <sheet name="САДРЖАЈ" sheetId="203" r:id="rId1"/>
    <sheet name="Kadar.ode." sheetId="244" r:id="rId2"/>
    <sheet name="Kadar.dne.bol.dij." sheetId="245" r:id="rId3"/>
    <sheet name="Kadar.zaj.med.del." sheetId="246" r:id="rId4"/>
    <sheet name="Kadar.nem." sheetId="247" r:id="rId5"/>
    <sheet name="Kadar.zbirno " sheetId="248" r:id="rId6"/>
    <sheet name="Korišćenje_Covid-19" sheetId="239" r:id="rId7"/>
    <sheet name="Kapaciteti i korišćenje" sheetId="209" r:id="rId8"/>
    <sheet name="Pratioci" sheetId="197" r:id="rId9"/>
    <sheet name="Dnevne.bolnice" sheetId="208" r:id="rId10"/>
    <sheet name="Neonatologija" sheetId="183" r:id="rId11"/>
    <sheet name="Operacije" sheetId="213" r:id="rId12"/>
    <sheet name="Pregledi RFZO" sheetId="223" r:id="rId13"/>
    <sheet name="DSG" sheetId="212" r:id="rId14"/>
    <sheet name="Usluge RFZO" sheetId="254" r:id="rId15"/>
    <sheet name="Дневна болница" sheetId="229" r:id="rId16"/>
    <sheet name="Физикална и рех" sheetId="238" r:id="rId17"/>
    <sheet name="Dijagnostika" sheetId="252" r:id="rId18"/>
    <sheet name="Lab" sheetId="242" r:id="rId19"/>
    <sheet name="Dijalize" sheetId="211" r:id="rId20"/>
    <sheet name="Krv" sheetId="159" r:id="rId21"/>
    <sheet name="LEKOVI" sheetId="262" r:id="rId22"/>
    <sheet name="IMPLANTANTI" sheetId="263" r:id="rId23"/>
    <sheet name="Sanitet. mat" sheetId="264" r:id="rId24"/>
    <sheet name="Liste.čekanja 2023" sheetId="243" r:id="rId25"/>
    <sheet name="Zbirno_usluge" sheetId="253" r:id="rId26"/>
  </sheets>
  <definedNames>
    <definedName name="____W.O.R.K.B.O.O.K..C.O.N.T.E.N.T.S____" localSheetId="17">#REF!</definedName>
    <definedName name="____W.O.R.K.B.O.O.K..C.O.N.T.E.N.T.S____" localSheetId="13">#REF!</definedName>
    <definedName name="____W.O.R.K.B.O.O.K..C.O.N.T.E.N.T.S____" localSheetId="22">#REF!</definedName>
    <definedName name="____W.O.R.K.B.O.O.K..C.O.N.T.E.N.T.S____" localSheetId="6">#REF!</definedName>
    <definedName name="____W.O.R.K.B.O.O.K..C.O.N.T.E.N.T.S____" localSheetId="18">#REF!</definedName>
    <definedName name="____W.O.R.K.B.O.O.K..C.O.N.T.E.N.T.S____" localSheetId="21">#REF!</definedName>
    <definedName name="____W.O.R.K.B.O.O.K..C.O.N.T.E.N.T.S____" localSheetId="24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14">#REF!</definedName>
    <definedName name="____W.O.R.K.B.O.O.K..C.O.N.T.E.N.T.S____" localSheetId="25">#REF!</definedName>
    <definedName name="____W.O.R.K.B.O.O.K..C.O.N.T.E.N.T.S____" localSheetId="16">#REF!</definedName>
    <definedName name="____W.O.R.K.B.O.O.K..C.O.N.T.E.N.T.S____">#REF!</definedName>
    <definedName name="____W_O_R_K_B_O_O_K__C_O_N_T_E_N_T_S____" localSheetId="17">#REF!</definedName>
    <definedName name="____W_O_R_K_B_O_O_K__C_O_N_T_E_N_T_S____" localSheetId="22">#REF!</definedName>
    <definedName name="____W_O_R_K_B_O_O_K__C_O_N_T_E_N_T_S____" localSheetId="6">#REF!</definedName>
    <definedName name="____W_O_R_K_B_O_O_K__C_O_N_T_E_N_T_S____" localSheetId="18">#REF!</definedName>
    <definedName name="____W_O_R_K_B_O_O_K__C_O_N_T_E_N_T_S____" localSheetId="21">#REF!</definedName>
    <definedName name="____W_O_R_K_B_O_O_K__C_O_N_T_E_N_T_S____" localSheetId="25">#REF!</definedName>
    <definedName name="____W_O_R_K_B_O_O_K__C_O_N_T_E_N_T_S____" localSheetId="15">#REF!</definedName>
    <definedName name="____W_O_R_K_B_O_O_K__C_O_N_T_E_N_T_S____" localSheetId="16">#REF!</definedName>
    <definedName name="____W_O_R_K_B_O_O_K__C_O_N_T_E_N_T_S____">#REF!</definedName>
    <definedName name="APOT" localSheetId="17">#REF!</definedName>
    <definedName name="APOT" localSheetId="6">#REF!</definedName>
    <definedName name="APOT" localSheetId="18">#REF!</definedName>
    <definedName name="APOT" localSheetId="25">#REF!</definedName>
    <definedName name="APOT" localSheetId="15">#REF!</definedName>
    <definedName name="APOT" localSheetId="16">#REF!</definedName>
    <definedName name="APOT">#REF!</definedName>
    <definedName name="apoteka1" localSheetId="17">#REF!</definedName>
    <definedName name="apoteka1" localSheetId="22">#REF!</definedName>
    <definedName name="apoteka1" localSheetId="6">#REF!</definedName>
    <definedName name="apoteka1" localSheetId="18">#REF!</definedName>
    <definedName name="apoteka1" localSheetId="21">#REF!</definedName>
    <definedName name="apoteka1" localSheetId="25">#REF!</definedName>
    <definedName name="apoteka1" localSheetId="15">#REF!</definedName>
    <definedName name="apoteka1" localSheetId="16">#REF!</definedName>
    <definedName name="apoteka1">#REF!</definedName>
    <definedName name="apoteka2" localSheetId="17">#REF!</definedName>
    <definedName name="apoteka2" localSheetId="22">#REF!</definedName>
    <definedName name="apoteka2" localSheetId="6">#REF!</definedName>
    <definedName name="apoteka2" localSheetId="18">#REF!</definedName>
    <definedName name="apoteka2" localSheetId="21">#REF!</definedName>
    <definedName name="apoteka2" localSheetId="25">#REF!</definedName>
    <definedName name="apoteka2" localSheetId="15">#REF!</definedName>
    <definedName name="apoteka2" localSheetId="16">#REF!</definedName>
    <definedName name="apoteka2">#REF!</definedName>
    <definedName name="apoteka7798" localSheetId="17">#REF!</definedName>
    <definedName name="apoteka7798" localSheetId="22">#REF!</definedName>
    <definedName name="apoteka7798" localSheetId="6">#REF!</definedName>
    <definedName name="apoteka7798" localSheetId="18">#REF!</definedName>
    <definedName name="apoteka7798" localSheetId="21">#REF!</definedName>
    <definedName name="apoteka7798" localSheetId="25">#REF!</definedName>
    <definedName name="apoteka7798" localSheetId="15">#REF!</definedName>
    <definedName name="apoteka7798" localSheetId="16">#REF!</definedName>
    <definedName name="apoteka7798">#REF!</definedName>
    <definedName name="IMLANT3" localSheetId="17">#REF!</definedName>
    <definedName name="IMLANT3" localSheetId="25">#REF!</definedName>
    <definedName name="IMLANT3">#REF!</definedName>
    <definedName name="IMPLANT2" localSheetId="17">#REF!</definedName>
    <definedName name="IMPLANT2" localSheetId="6">#REF!</definedName>
    <definedName name="IMPLANT2" localSheetId="18">#REF!</definedName>
    <definedName name="IMPLANT2" localSheetId="25">#REF!</definedName>
    <definedName name="IMPLANT2" localSheetId="15">#REF!</definedName>
    <definedName name="IMPLANT2" localSheetId="16">#REF!</definedName>
    <definedName name="IMPLANT2">#REF!</definedName>
    <definedName name="IMPLANTIRFZO2" localSheetId="17">#REF!</definedName>
    <definedName name="IMPLANTIRFZO2" localSheetId="25">#REF!</definedName>
    <definedName name="IMPLANTIRFZO2">#REF!</definedName>
    <definedName name="Lekovi2" localSheetId="17">#REF!</definedName>
    <definedName name="Lekovi2" localSheetId="6">#REF!</definedName>
    <definedName name="Lekovi2" localSheetId="18">#REF!</definedName>
    <definedName name="Lekovi2" localSheetId="25">#REF!</definedName>
    <definedName name="Lekovi2" localSheetId="15">#REF!</definedName>
    <definedName name="Lekovi2" localSheetId="16">#REF!</definedName>
    <definedName name="Lekovi2">#REF!</definedName>
    <definedName name="okok" localSheetId="17">#REF!</definedName>
    <definedName name="okok" localSheetId="22">#REF!</definedName>
    <definedName name="okok" localSheetId="6">#REF!</definedName>
    <definedName name="okok" localSheetId="18">#REF!</definedName>
    <definedName name="okok" localSheetId="21">#REF!</definedName>
    <definedName name="okok" localSheetId="25">#REF!</definedName>
    <definedName name="okok" localSheetId="15">#REF!</definedName>
    <definedName name="okok" localSheetId="16">#REF!</definedName>
    <definedName name="okok">#REF!</definedName>
    <definedName name="OKOK1" localSheetId="17">#REF!</definedName>
    <definedName name="OKOK1" localSheetId="6">#REF!</definedName>
    <definedName name="OKOK1" localSheetId="18">#REF!</definedName>
    <definedName name="OKOK1" localSheetId="25">#REF!</definedName>
    <definedName name="OKOK1" localSheetId="15">#REF!</definedName>
    <definedName name="OKOK1" localSheetId="16">#REF!</definedName>
    <definedName name="OKOK1">#REF!</definedName>
    <definedName name="Operacijenove" localSheetId="17">#REF!</definedName>
    <definedName name="Operacijenove" localSheetId="22">#REF!</definedName>
    <definedName name="Operacijenove" localSheetId="6">#REF!</definedName>
    <definedName name="Operacijenove" localSheetId="18">#REF!</definedName>
    <definedName name="Operacijenove" localSheetId="21">#REF!</definedName>
    <definedName name="Operacijenove" localSheetId="14">#REF!</definedName>
    <definedName name="Operacijenove" localSheetId="25">#REF!</definedName>
    <definedName name="Operacijenove" localSheetId="15">#REF!</definedName>
    <definedName name="Operacijenove" localSheetId="16">#REF!</definedName>
    <definedName name="Operacijenove">#REF!</definedName>
    <definedName name="operacijenove2" localSheetId="17">#REF!</definedName>
    <definedName name="operacijenove2" localSheetId="22">#REF!</definedName>
    <definedName name="operacijenove2" localSheetId="6">#REF!</definedName>
    <definedName name="operacijenove2" localSheetId="18">#REF!</definedName>
    <definedName name="operacijenove2" localSheetId="21">#REF!</definedName>
    <definedName name="operacijenove2" localSheetId="25">#REF!</definedName>
    <definedName name="operacijenove2" localSheetId="15">#REF!</definedName>
    <definedName name="operacijenove2" localSheetId="16">#REF!</definedName>
    <definedName name="operacijenove2">#REF!</definedName>
    <definedName name="Opp" localSheetId="17">#REF!</definedName>
    <definedName name="Opp" localSheetId="6">#REF!</definedName>
    <definedName name="Opp" localSheetId="18">#REF!</definedName>
    <definedName name="Opp" localSheetId="25">#REF!</definedName>
    <definedName name="Opp" localSheetId="15">#REF!</definedName>
    <definedName name="Opp">#REF!</definedName>
    <definedName name="_xlnm.Print_Area" localSheetId="4">Kadar.nem.!$A$1:$I$23</definedName>
    <definedName name="_xlnm.Print_Area" localSheetId="5">'Kadar.zbirno '!$A$1:$K$19</definedName>
    <definedName name="_xlnm.Print_Area" localSheetId="6">'Korišćenje_Covid-19'!$A$1:$I$18</definedName>
    <definedName name="_xlnm.Print_Area" localSheetId="20">Krv!$A$1:$H$73</definedName>
    <definedName name="_xlnm.Print_Area" localSheetId="18">Lab!$A$1:$H$242</definedName>
    <definedName name="_xlnm.Print_Area" localSheetId="21">LEKOVI!$A$1:$K$70</definedName>
    <definedName name="_xlnm.Print_Area" localSheetId="24">'Liste.čekanja 2023'!$A$1:$I$36</definedName>
    <definedName name="_xlnm.Print_Area" localSheetId="10">Neonatologija!$A$1:$F$12</definedName>
    <definedName name="_xlnm.Print_Area" localSheetId="23">'Sanitet. mat'!$A$1:$D$25</definedName>
    <definedName name="_xlnm.Print_Area" localSheetId="14">'Usluge RFZO'!$A$1:$I$1003</definedName>
    <definedName name="_xlnm.Print_Area" localSheetId="25">Zbirno_usluge!$A$1:$I$872</definedName>
    <definedName name="_xlnm.Print_Area" localSheetId="15">'Дневна болница'!$A$1:$H$397</definedName>
    <definedName name="_xlnm.Print_Titles" localSheetId="17">Dijagnostika!$6:$7</definedName>
    <definedName name="_xlnm.Print_Titles" localSheetId="3">Kadar.zaj.med.del.!$A:$A</definedName>
    <definedName name="_xlnm.Print_Titles" localSheetId="18">Lab!$6:$7</definedName>
    <definedName name="_xlnm.Print_Titles" localSheetId="24">'Liste.čekanja 2023'!$1:$6</definedName>
    <definedName name="San.mat" localSheetId="17">#REF!</definedName>
    <definedName name="San.mat" localSheetId="22">#REF!</definedName>
    <definedName name="San.mat" localSheetId="6">#REF!</definedName>
    <definedName name="San.mat" localSheetId="18">#REF!</definedName>
    <definedName name="San.mat" localSheetId="21">#REF!</definedName>
    <definedName name="San.mat" localSheetId="25">#REF!</definedName>
    <definedName name="San.mat" localSheetId="16">#REF!</definedName>
    <definedName name="San.mat">#REF!</definedName>
    <definedName name="San_mat" localSheetId="17">#REF!</definedName>
    <definedName name="San_mat" localSheetId="22">#REF!</definedName>
    <definedName name="San_mat" localSheetId="6">#REF!</definedName>
    <definedName name="San_mat" localSheetId="18">#REF!</definedName>
    <definedName name="San_mat" localSheetId="21">#REF!</definedName>
    <definedName name="San_mat" localSheetId="25">#REF!</definedName>
    <definedName name="San_mat">#REF!</definedName>
  </definedNames>
  <calcPr calcId="162913"/>
</workbook>
</file>

<file path=xl/calcChain.xml><?xml version="1.0" encoding="utf-8"?>
<calcChain xmlns="http://schemas.openxmlformats.org/spreadsheetml/2006/main">
  <c r="I227" i="254" l="1"/>
  <c r="I226" i="254"/>
  <c r="I225" i="254"/>
  <c r="I224" i="254"/>
  <c r="I223" i="254"/>
  <c r="I222" i="254"/>
  <c r="I221" i="254"/>
  <c r="I220" i="254"/>
  <c r="I219" i="254"/>
  <c r="I218" i="254"/>
  <c r="I217" i="254"/>
  <c r="I216" i="254"/>
  <c r="I215" i="254"/>
  <c r="I214" i="254"/>
  <c r="I213" i="254"/>
  <c r="I212" i="254"/>
  <c r="I211" i="254"/>
  <c r="I210" i="254"/>
  <c r="I209" i="254"/>
  <c r="I208" i="254"/>
  <c r="I207" i="254"/>
  <c r="I206" i="254"/>
  <c r="I205" i="254"/>
  <c r="I204" i="254"/>
  <c r="I203" i="254"/>
  <c r="I202" i="254"/>
  <c r="I201" i="254"/>
  <c r="I200" i="254"/>
  <c r="I199" i="254"/>
  <c r="I198" i="254"/>
  <c r="I197" i="254"/>
  <c r="I196" i="254"/>
  <c r="I195" i="254"/>
  <c r="I194" i="254"/>
  <c r="I193" i="254"/>
  <c r="I192" i="254"/>
  <c r="I191" i="254"/>
  <c r="I190" i="254"/>
  <c r="I189" i="254"/>
  <c r="I188" i="254"/>
  <c r="I187" i="254"/>
  <c r="I186" i="254"/>
  <c r="I185" i="254"/>
  <c r="I184" i="254"/>
  <c r="I183" i="254"/>
  <c r="I182" i="254"/>
  <c r="I181" i="254"/>
  <c r="I180" i="254"/>
  <c r="I179" i="254"/>
  <c r="I178" i="254"/>
  <c r="I177" i="254"/>
  <c r="I176" i="254"/>
  <c r="I175" i="254"/>
  <c r="I174" i="254"/>
  <c r="I173" i="254"/>
  <c r="I172" i="254"/>
  <c r="I171" i="254"/>
  <c r="I170" i="254"/>
  <c r="I169" i="254"/>
  <c r="I168" i="254"/>
  <c r="I167" i="254"/>
  <c r="I166" i="254"/>
  <c r="I165" i="254"/>
  <c r="I164" i="254"/>
  <c r="I163" i="254"/>
  <c r="I162" i="254"/>
  <c r="I161" i="254"/>
  <c r="I160" i="254"/>
  <c r="I159" i="254"/>
  <c r="I158" i="254"/>
  <c r="I157" i="254"/>
  <c r="I156" i="254"/>
  <c r="I155" i="254"/>
  <c r="I154" i="254"/>
  <c r="I153" i="254"/>
  <c r="I151" i="254"/>
  <c r="I150" i="254"/>
  <c r="I149" i="254"/>
  <c r="I148" i="254"/>
  <c r="I147" i="254"/>
  <c r="I146" i="254"/>
  <c r="I145" i="254"/>
  <c r="I230" i="254" l="1"/>
  <c r="I231" i="254"/>
  <c r="I237" i="254"/>
  <c r="I242" i="254"/>
  <c r="I253" i="254"/>
  <c r="I254" i="254"/>
  <c r="I255" i="254"/>
  <c r="H304" i="229"/>
  <c r="H303" i="229"/>
  <c r="H302" i="229"/>
  <c r="H301" i="229"/>
  <c r="H300" i="229"/>
  <c r="H299" i="229"/>
  <c r="H298" i="229"/>
  <c r="H297" i="229"/>
  <c r="H296" i="229"/>
  <c r="H295" i="229"/>
  <c r="F78" i="254"/>
  <c r="H331" i="229"/>
  <c r="G331" i="229"/>
  <c r="H338" i="229"/>
  <c r="G890" i="254" l="1"/>
  <c r="F890" i="254"/>
  <c r="E890" i="254"/>
  <c r="D890" i="254"/>
  <c r="G887" i="254"/>
  <c r="F887" i="254"/>
  <c r="E887" i="254"/>
  <c r="D887" i="254"/>
  <c r="G881" i="254"/>
  <c r="F881" i="254"/>
  <c r="E881" i="254"/>
  <c r="D881" i="254"/>
  <c r="G872" i="254"/>
  <c r="F872" i="254"/>
  <c r="E872" i="254"/>
  <c r="D872" i="254"/>
  <c r="G864" i="254"/>
  <c r="F864" i="254"/>
  <c r="D864" i="254"/>
  <c r="G860" i="254"/>
  <c r="F860" i="254"/>
  <c r="E860" i="254"/>
  <c r="D860" i="254"/>
  <c r="G831" i="254"/>
  <c r="F831" i="254"/>
  <c r="E831" i="254"/>
  <c r="D831" i="254"/>
  <c r="G823" i="254"/>
  <c r="F823" i="254"/>
  <c r="E823" i="254"/>
  <c r="D823" i="254"/>
  <c r="G805" i="254"/>
  <c r="F805" i="254"/>
  <c r="E805" i="254"/>
  <c r="D805" i="254"/>
  <c r="G773" i="254"/>
  <c r="F773" i="254"/>
  <c r="E773" i="254"/>
  <c r="D773" i="254"/>
  <c r="G766" i="254"/>
  <c r="F766" i="254"/>
  <c r="E766" i="254"/>
  <c r="D766" i="254"/>
  <c r="G756" i="254"/>
  <c r="F756" i="254"/>
  <c r="E756" i="254"/>
  <c r="D756" i="254"/>
  <c r="D180" i="252" l="1"/>
  <c r="E180" i="252"/>
  <c r="F180" i="252"/>
  <c r="C180" i="252"/>
  <c r="H9" i="252"/>
  <c r="H180" i="252" l="1"/>
  <c r="G180" i="252"/>
  <c r="G9" i="252"/>
  <c r="D122" i="252"/>
  <c r="E122" i="252"/>
  <c r="F122" i="252"/>
  <c r="H122" i="252" s="1"/>
  <c r="C122" i="252"/>
  <c r="G122" i="252" s="1"/>
  <c r="D10" i="252"/>
  <c r="D181" i="252" s="1"/>
  <c r="E10" i="252"/>
  <c r="E181" i="252" s="1"/>
  <c r="F10" i="252"/>
  <c r="F181" i="252" s="1"/>
  <c r="C10" i="252"/>
  <c r="C181" i="252" s="1"/>
  <c r="D10" i="242" l="1"/>
  <c r="E10" i="242"/>
  <c r="F10" i="242"/>
  <c r="C10" i="242"/>
  <c r="H119" i="242"/>
  <c r="G119" i="242"/>
  <c r="H118" i="242"/>
  <c r="G118" i="242"/>
  <c r="H117" i="242"/>
  <c r="G117" i="242"/>
  <c r="H116" i="242"/>
  <c r="G116" i="242"/>
  <c r="H115" i="242"/>
  <c r="G115" i="242"/>
  <c r="H114" i="242"/>
  <c r="G114" i="242"/>
  <c r="H113" i="242"/>
  <c r="G113" i="242"/>
  <c r="H112" i="242"/>
  <c r="G112" i="242"/>
  <c r="H111" i="242"/>
  <c r="G111" i="242"/>
  <c r="H110" i="242"/>
  <c r="G110" i="242"/>
  <c r="H109" i="242"/>
  <c r="G109" i="242"/>
  <c r="H108" i="242"/>
  <c r="G108" i="242"/>
  <c r="H107" i="242"/>
  <c r="G107" i="242"/>
  <c r="H106" i="242"/>
  <c r="G106" i="242"/>
  <c r="H105" i="242"/>
  <c r="G105" i="242"/>
  <c r="H104" i="242"/>
  <c r="G104" i="242"/>
  <c r="H103" i="242"/>
  <c r="G103" i="242"/>
  <c r="H102" i="242"/>
  <c r="G102" i="242"/>
  <c r="F101" i="242"/>
  <c r="E101" i="242"/>
  <c r="D101" i="242"/>
  <c r="C101" i="242"/>
  <c r="H100" i="242"/>
  <c r="G100" i="242"/>
  <c r="H99" i="242"/>
  <c r="G99" i="242"/>
  <c r="H97" i="242"/>
  <c r="G97" i="242"/>
  <c r="H96" i="242"/>
  <c r="G96" i="242"/>
  <c r="H95" i="242"/>
  <c r="G95" i="242"/>
  <c r="H94" i="242"/>
  <c r="G94" i="242"/>
  <c r="H93" i="242"/>
  <c r="G93" i="242"/>
  <c r="H92" i="242"/>
  <c r="G92" i="242"/>
  <c r="H91" i="242"/>
  <c r="G91" i="242"/>
  <c r="H90" i="242"/>
  <c r="G90" i="242"/>
  <c r="H89" i="242"/>
  <c r="G89" i="242"/>
  <c r="H88" i="242"/>
  <c r="G88" i="242"/>
  <c r="H87" i="242"/>
  <c r="G87" i="242"/>
  <c r="H86" i="242"/>
  <c r="G86" i="242"/>
  <c r="H85" i="242"/>
  <c r="G85" i="242"/>
  <c r="H84" i="242"/>
  <c r="G84" i="242"/>
  <c r="H83" i="242"/>
  <c r="G83" i="242"/>
  <c r="H82" i="242"/>
  <c r="G82" i="242"/>
  <c r="H81" i="242"/>
  <c r="G81" i="242"/>
  <c r="H80" i="242"/>
  <c r="G80" i="242"/>
  <c r="H79" i="242"/>
  <c r="G79" i="242"/>
  <c r="H78" i="242"/>
  <c r="G78" i="242"/>
  <c r="H77" i="242"/>
  <c r="G77" i="242"/>
  <c r="H76" i="242"/>
  <c r="G76" i="242"/>
  <c r="F75" i="242"/>
  <c r="E75" i="242"/>
  <c r="D75" i="242"/>
  <c r="H75" i="242" s="1"/>
  <c r="C75" i="242"/>
  <c r="G75" i="242" s="1"/>
  <c r="H74" i="242"/>
  <c r="G74" i="242"/>
  <c r="H73" i="242"/>
  <c r="G73" i="242"/>
  <c r="H72" i="242"/>
  <c r="G72" i="242"/>
  <c r="H71" i="242"/>
  <c r="G71" i="242"/>
  <c r="H70" i="242"/>
  <c r="G70" i="242"/>
  <c r="H69" i="242"/>
  <c r="G69" i="242"/>
  <c r="H68" i="242"/>
  <c r="G68" i="242"/>
  <c r="H67" i="242"/>
  <c r="G67" i="242"/>
  <c r="H66" i="242"/>
  <c r="G66" i="242"/>
  <c r="H65" i="242"/>
  <c r="G65" i="242"/>
  <c r="H64" i="242"/>
  <c r="G64" i="242"/>
  <c r="H63" i="242"/>
  <c r="G63" i="242"/>
  <c r="H62" i="242"/>
  <c r="G62" i="242"/>
  <c r="H61" i="242"/>
  <c r="G61" i="242"/>
  <c r="H60" i="242"/>
  <c r="G60" i="242"/>
  <c r="H59" i="242"/>
  <c r="G59" i="242"/>
  <c r="H58" i="242"/>
  <c r="G58" i="242"/>
  <c r="H57" i="242"/>
  <c r="G57" i="242"/>
  <c r="H56" i="242"/>
  <c r="G56" i="242"/>
  <c r="H55" i="242"/>
  <c r="G55" i="242"/>
  <c r="H54" i="242"/>
  <c r="G54" i="242"/>
  <c r="H53" i="242"/>
  <c r="G53" i="242"/>
  <c r="H52" i="242"/>
  <c r="G52" i="242"/>
  <c r="H51" i="242"/>
  <c r="G51" i="242"/>
  <c r="H50" i="242"/>
  <c r="G50" i="242"/>
  <c r="H49" i="242"/>
  <c r="G49" i="242"/>
  <c r="H48" i="242"/>
  <c r="G48" i="242"/>
  <c r="H47" i="242"/>
  <c r="G47" i="242"/>
  <c r="H46" i="242"/>
  <c r="G46" i="242"/>
  <c r="H45" i="242"/>
  <c r="G45" i="242"/>
  <c r="H44" i="242"/>
  <c r="G44" i="242"/>
  <c r="H43" i="242"/>
  <c r="G43" i="242"/>
  <c r="H42" i="242"/>
  <c r="G42" i="242"/>
  <c r="H41" i="242"/>
  <c r="G41" i="242"/>
  <c r="H40" i="242"/>
  <c r="G40" i="242"/>
  <c r="H39" i="242"/>
  <c r="G39" i="242"/>
  <c r="H38" i="242"/>
  <c r="G38" i="242"/>
  <c r="H37" i="242"/>
  <c r="G37" i="242"/>
  <c r="H36" i="242"/>
  <c r="G36" i="242"/>
  <c r="H35" i="242"/>
  <c r="G35" i="242"/>
  <c r="H34" i="242"/>
  <c r="G34" i="242"/>
  <c r="H33" i="242"/>
  <c r="G33" i="242"/>
  <c r="H32" i="242"/>
  <c r="G32" i="242"/>
  <c r="H31" i="242"/>
  <c r="G31" i="242"/>
  <c r="H30" i="242"/>
  <c r="G30" i="242"/>
  <c r="H29" i="242"/>
  <c r="G29" i="242"/>
  <c r="H28" i="242"/>
  <c r="G28" i="242"/>
  <c r="H27" i="242"/>
  <c r="G27" i="242"/>
  <c r="H26" i="242"/>
  <c r="G26" i="242"/>
  <c r="H25" i="242"/>
  <c r="G25" i="242"/>
  <c r="H24" i="242"/>
  <c r="G24" i="242"/>
  <c r="H23" i="242"/>
  <c r="G23" i="242"/>
  <c r="H22" i="242"/>
  <c r="G22" i="242"/>
  <c r="H21" i="242"/>
  <c r="G21" i="242"/>
  <c r="H20" i="242"/>
  <c r="G20" i="242"/>
  <c r="H19" i="242"/>
  <c r="G19" i="242"/>
  <c r="H18" i="242"/>
  <c r="G18" i="242"/>
  <c r="H17" i="242"/>
  <c r="G17" i="242"/>
  <c r="H16" i="242"/>
  <c r="G16" i="242"/>
  <c r="H15" i="242"/>
  <c r="G15" i="242"/>
  <c r="H14" i="242"/>
  <c r="G14" i="242"/>
  <c r="H13" i="242"/>
  <c r="G13" i="242"/>
  <c r="H12" i="242"/>
  <c r="G12" i="242"/>
  <c r="H11" i="242"/>
  <c r="G11" i="242"/>
  <c r="G101" i="242" l="1"/>
  <c r="H101" i="242"/>
  <c r="D14" i="264"/>
  <c r="C13" i="264"/>
  <c r="C12" i="264"/>
  <c r="C11" i="264"/>
  <c r="C10" i="264"/>
  <c r="C9" i="264"/>
  <c r="H68" i="263"/>
  <c r="D67" i="263"/>
  <c r="E67" i="263" s="1"/>
  <c r="I66" i="263"/>
  <c r="H62" i="263"/>
  <c r="D62" i="263"/>
  <c r="E62" i="263" s="1"/>
  <c r="H61" i="263"/>
  <c r="D61" i="263"/>
  <c r="E61" i="263" s="1"/>
  <c r="H60" i="263"/>
  <c r="D60" i="263"/>
  <c r="E60" i="263" s="1"/>
  <c r="C60" i="263"/>
  <c r="H59" i="263"/>
  <c r="D59" i="263"/>
  <c r="E59" i="263" s="1"/>
  <c r="H58" i="263"/>
  <c r="E58" i="263"/>
  <c r="H57" i="263"/>
  <c r="H56" i="263"/>
  <c r="D56" i="263"/>
  <c r="E56" i="263" s="1"/>
  <c r="H55" i="263"/>
  <c r="E55" i="263"/>
  <c r="I52" i="263"/>
  <c r="H52" i="263" s="1"/>
  <c r="H51" i="263"/>
  <c r="D51" i="263"/>
  <c r="E51" i="263" s="1"/>
  <c r="H50" i="263"/>
  <c r="D50" i="263"/>
  <c r="E50" i="263" s="1"/>
  <c r="H49" i="263"/>
  <c r="E49" i="263"/>
  <c r="D49" i="263"/>
  <c r="I47" i="263"/>
  <c r="H47" i="263"/>
  <c r="E47" i="263"/>
  <c r="D47" i="263"/>
  <c r="I46" i="263"/>
  <c r="H46" i="263" s="1"/>
  <c r="D46" i="263"/>
  <c r="E46" i="263" s="1"/>
  <c r="I45" i="263"/>
  <c r="H45" i="263" s="1"/>
  <c r="D45" i="263"/>
  <c r="E45" i="263" s="1"/>
  <c r="I43" i="263"/>
  <c r="H43" i="263" s="1"/>
  <c r="D43" i="263"/>
  <c r="E43" i="263" s="1"/>
  <c r="I42" i="263"/>
  <c r="H42" i="263" s="1"/>
  <c r="D42" i="263"/>
  <c r="E42" i="263" s="1"/>
  <c r="I41" i="263"/>
  <c r="H41" i="263"/>
  <c r="D41" i="263"/>
  <c r="E41" i="263" s="1"/>
  <c r="I40" i="263"/>
  <c r="H40" i="263" s="1"/>
  <c r="D40" i="263"/>
  <c r="E40" i="263" s="1"/>
  <c r="I39" i="263"/>
  <c r="H39" i="263"/>
  <c r="E39" i="263"/>
  <c r="D39" i="263"/>
  <c r="I37" i="263"/>
  <c r="H37" i="263"/>
  <c r="E37" i="263"/>
  <c r="D37" i="263"/>
  <c r="I36" i="263"/>
  <c r="H36" i="263" s="1"/>
  <c r="D36" i="263"/>
  <c r="E36" i="263" s="1"/>
  <c r="I35" i="263"/>
  <c r="H35" i="263" s="1"/>
  <c r="D35" i="263"/>
  <c r="I34" i="263"/>
  <c r="H34" i="263" s="1"/>
  <c r="E34" i="263"/>
  <c r="D34" i="263"/>
  <c r="I33" i="263"/>
  <c r="H33" i="263" s="1"/>
  <c r="D33" i="263"/>
  <c r="E33" i="263" s="1"/>
  <c r="I31" i="263"/>
  <c r="H31" i="263"/>
  <c r="E31" i="263"/>
  <c r="I30" i="263"/>
  <c r="H30" i="263" s="1"/>
  <c r="E30" i="263"/>
  <c r="I29" i="263"/>
  <c r="H29" i="263" s="1"/>
  <c r="D29" i="263"/>
  <c r="E29" i="263" s="1"/>
  <c r="H27" i="263"/>
  <c r="H28" i="263" s="1"/>
  <c r="E27" i="263"/>
  <c r="D27" i="263"/>
  <c r="D28" i="263" s="1"/>
  <c r="C27" i="263"/>
  <c r="H17" i="263"/>
  <c r="D17" i="263"/>
  <c r="E17" i="263" s="1"/>
  <c r="C17" i="263"/>
  <c r="H16" i="263"/>
  <c r="D16" i="263"/>
  <c r="E16" i="263" s="1"/>
  <c r="D15" i="263"/>
  <c r="E15" i="263" s="1"/>
  <c r="H14" i="263"/>
  <c r="H13" i="263"/>
  <c r="H12" i="263"/>
  <c r="H11" i="263"/>
  <c r="D11" i="263"/>
  <c r="E11" i="263" s="1"/>
  <c r="H10" i="263"/>
  <c r="E10" i="263"/>
  <c r="H9" i="263"/>
  <c r="D9" i="263"/>
  <c r="C9" i="263"/>
  <c r="H64" i="262"/>
  <c r="H63" i="262"/>
  <c r="H62" i="262"/>
  <c r="H60" i="262"/>
  <c r="H59" i="262"/>
  <c r="H58" i="262"/>
  <c r="H57" i="262"/>
  <c r="H56" i="262"/>
  <c r="H55" i="262"/>
  <c r="H54" i="262"/>
  <c r="H53" i="262"/>
  <c r="H52" i="262"/>
  <c r="H51" i="262"/>
  <c r="K50" i="262"/>
  <c r="K47" i="262"/>
  <c r="H47" i="262"/>
  <c r="F47" i="262"/>
  <c r="K46" i="262"/>
  <c r="G46" i="262"/>
  <c r="K45" i="262"/>
  <c r="H45" i="262"/>
  <c r="G45" i="262" s="1"/>
  <c r="F45" i="262"/>
  <c r="K44" i="262"/>
  <c r="H44" i="262"/>
  <c r="F44" i="262"/>
  <c r="K43" i="262"/>
  <c r="H43" i="262"/>
  <c r="F43" i="262"/>
  <c r="K42" i="262"/>
  <c r="G42" i="262"/>
  <c r="K41" i="262"/>
  <c r="G41" i="262"/>
  <c r="K40" i="262"/>
  <c r="H40" i="262"/>
  <c r="G40" i="262" s="1"/>
  <c r="K39" i="262"/>
  <c r="G39" i="262"/>
  <c r="K38" i="262"/>
  <c r="H38" i="262"/>
  <c r="F38" i="262"/>
  <c r="K37" i="262"/>
  <c r="G37" i="262"/>
  <c r="K36" i="262"/>
  <c r="G36" i="262"/>
  <c r="K35" i="262"/>
  <c r="H35" i="262"/>
  <c r="G35" i="262" s="1"/>
  <c r="F35" i="262"/>
  <c r="K34" i="262"/>
  <c r="H34" i="262"/>
  <c r="F34" i="262"/>
  <c r="K33" i="262"/>
  <c r="H33" i="262"/>
  <c r="G33" i="262" s="1"/>
  <c r="F33" i="262"/>
  <c r="K32" i="262"/>
  <c r="H32" i="262"/>
  <c r="G32" i="262" s="1"/>
  <c r="F32" i="262"/>
  <c r="K31" i="262"/>
  <c r="G31" i="262"/>
  <c r="K30" i="262"/>
  <c r="K29" i="262"/>
  <c r="G29" i="262"/>
  <c r="K28" i="262"/>
  <c r="G28" i="262"/>
  <c r="K27" i="262"/>
  <c r="H27" i="262"/>
  <c r="G27" i="262" s="1"/>
  <c r="F27" i="262"/>
  <c r="K26" i="262"/>
  <c r="H26" i="262"/>
  <c r="F26" i="262"/>
  <c r="K25" i="262"/>
  <c r="H25" i="262"/>
  <c r="G25" i="262" s="1"/>
  <c r="F25" i="262"/>
  <c r="K24" i="262"/>
  <c r="H24" i="262"/>
  <c r="F24" i="262"/>
  <c r="K23" i="262"/>
  <c r="H23" i="262"/>
  <c r="F23" i="262"/>
  <c r="K22" i="262"/>
  <c r="H22" i="262"/>
  <c r="G22" i="262" s="1"/>
  <c r="F22" i="262"/>
  <c r="K21" i="262"/>
  <c r="H21" i="262"/>
  <c r="G21" i="262" s="1"/>
  <c r="F21" i="262"/>
  <c r="K20" i="262"/>
  <c r="H20" i="262"/>
  <c r="F20" i="262"/>
  <c r="G20" i="262" s="1"/>
  <c r="K19" i="262"/>
  <c r="H19" i="262"/>
  <c r="G19" i="262" s="1"/>
  <c r="F19" i="262"/>
  <c r="K18" i="262"/>
  <c r="H18" i="262"/>
  <c r="G18" i="262" s="1"/>
  <c r="F18" i="262"/>
  <c r="K17" i="262"/>
  <c r="H17" i="262"/>
  <c r="F17" i="262"/>
  <c r="K16" i="262"/>
  <c r="H16" i="262"/>
  <c r="F16" i="262"/>
  <c r="K15" i="262"/>
  <c r="H15" i="262"/>
  <c r="G15" i="262" s="1"/>
  <c r="K14" i="262"/>
  <c r="H14" i="262"/>
  <c r="F14" i="262"/>
  <c r="K13" i="262"/>
  <c r="H13" i="262"/>
  <c r="F13" i="262"/>
  <c r="K12" i="262"/>
  <c r="G12" i="262"/>
  <c r="K11" i="262"/>
  <c r="H11" i="262"/>
  <c r="G11" i="262" s="1"/>
  <c r="K10" i="262"/>
  <c r="H10" i="262"/>
  <c r="G10" i="262" s="1"/>
  <c r="K9" i="262"/>
  <c r="H9" i="262"/>
  <c r="G9" i="262" s="1"/>
  <c r="K8" i="262"/>
  <c r="G8" i="262"/>
  <c r="K7" i="262"/>
  <c r="H7" i="262"/>
  <c r="G7" i="262" s="1"/>
  <c r="F7" i="262"/>
  <c r="G44" i="262" l="1"/>
  <c r="D18" i="263"/>
  <c r="G24" i="262"/>
  <c r="G34" i="262"/>
  <c r="G26" i="262"/>
  <c r="K6" i="262"/>
  <c r="K65" i="262" s="1"/>
  <c r="G16" i="262"/>
  <c r="D68" i="263"/>
  <c r="D73" i="263" s="1"/>
  <c r="G14" i="262"/>
  <c r="G38" i="262"/>
  <c r="G43" i="262"/>
  <c r="D53" i="263"/>
  <c r="H32" i="263"/>
  <c r="H18" i="263"/>
  <c r="F73" i="263" s="1"/>
  <c r="G13" i="262"/>
  <c r="G17" i="262"/>
  <c r="G23" i="262"/>
  <c r="G47" i="262"/>
  <c r="H50" i="262"/>
  <c r="H48" i="263"/>
  <c r="D48" i="263"/>
  <c r="H63" i="263"/>
  <c r="F75" i="263" s="1"/>
  <c r="C14" i="264"/>
  <c r="D38" i="263"/>
  <c r="H53" i="263"/>
  <c r="H44" i="263"/>
  <c r="H38" i="263"/>
  <c r="D44" i="263"/>
  <c r="E9" i="263"/>
  <c r="E35" i="263"/>
  <c r="D63" i="263"/>
  <c r="D75" i="263" s="1"/>
  <c r="H6" i="262"/>
  <c r="H65" i="262" s="1"/>
  <c r="D32" i="263"/>
  <c r="H54" i="263" l="1"/>
  <c r="F74" i="263" s="1"/>
  <c r="D74" i="263"/>
  <c r="E650" i="254"/>
  <c r="F650" i="254"/>
  <c r="G650" i="254"/>
  <c r="D650" i="254"/>
  <c r="D741" i="254"/>
  <c r="I649" i="254"/>
  <c r="E641" i="254"/>
  <c r="F641" i="254"/>
  <c r="G641" i="254"/>
  <c r="D641" i="254"/>
  <c r="I640" i="254"/>
  <c r="I639" i="254"/>
  <c r="I636" i="254"/>
  <c r="H636" i="254"/>
  <c r="H635" i="254"/>
  <c r="I634" i="254"/>
  <c r="H634" i="254"/>
  <c r="I633" i="254"/>
  <c r="H633" i="254"/>
  <c r="I632" i="254"/>
  <c r="H632" i="254"/>
  <c r="I629" i="254"/>
  <c r="H629" i="254"/>
  <c r="I628" i="254"/>
  <c r="H628" i="254"/>
  <c r="I627" i="254"/>
  <c r="H627" i="254"/>
  <c r="I626" i="254"/>
  <c r="H626" i="254"/>
  <c r="I625" i="254"/>
  <c r="H625" i="254"/>
  <c r="I624" i="254"/>
  <c r="H624" i="254"/>
  <c r="I623" i="254"/>
  <c r="H623" i="254"/>
  <c r="I622" i="254"/>
  <c r="H622" i="254"/>
  <c r="I621" i="254"/>
  <c r="H621" i="254"/>
  <c r="I620" i="254"/>
  <c r="H620" i="254"/>
  <c r="I619" i="254"/>
  <c r="H619" i="254"/>
  <c r="I618" i="254"/>
  <c r="H618" i="254"/>
  <c r="I617" i="254"/>
  <c r="H617" i="254"/>
  <c r="I616" i="254"/>
  <c r="H616" i="254"/>
  <c r="I615" i="254"/>
  <c r="H615" i="254"/>
  <c r="I614" i="254"/>
  <c r="H614" i="254"/>
  <c r="I613" i="254"/>
  <c r="H613" i="254"/>
  <c r="D18" i="197"/>
  <c r="E18" i="197"/>
  <c r="F18" i="197"/>
  <c r="G18" i="197"/>
  <c r="C18" i="197"/>
  <c r="I641" i="254" l="1"/>
  <c r="H641" i="254"/>
  <c r="F369" i="229" l="1"/>
  <c r="E369" i="229"/>
  <c r="H740" i="254"/>
  <c r="H739" i="254"/>
  <c r="H738" i="254"/>
  <c r="H737" i="254"/>
  <c r="H736" i="254"/>
  <c r="H735" i="254"/>
  <c r="H734" i="254"/>
  <c r="H733" i="254"/>
  <c r="H732" i="254"/>
  <c r="H731" i="254"/>
  <c r="G729" i="254"/>
  <c r="F729" i="254"/>
  <c r="E729" i="254"/>
  <c r="D729" i="254"/>
  <c r="H728" i="254"/>
  <c r="H727" i="254"/>
  <c r="H726" i="254"/>
  <c r="H725" i="254"/>
  <c r="H724" i="254"/>
  <c r="H723" i="254"/>
  <c r="H722" i="254"/>
  <c r="H721" i="254"/>
  <c r="H720" i="254"/>
  <c r="H719" i="254"/>
  <c r="H718" i="254"/>
  <c r="H717" i="254"/>
  <c r="H716" i="254"/>
  <c r="H715" i="254"/>
  <c r="H714" i="254"/>
  <c r="H713" i="254"/>
  <c r="H712" i="254"/>
  <c r="H711" i="254"/>
  <c r="H710" i="254"/>
  <c r="H709" i="254"/>
  <c r="H708" i="254"/>
  <c r="H707" i="254"/>
  <c r="H706" i="254"/>
  <c r="H705" i="254"/>
  <c r="H704" i="254"/>
  <c r="H703" i="254"/>
  <c r="H702" i="254"/>
  <c r="H701" i="254"/>
  <c r="H700" i="254"/>
  <c r="H699" i="254"/>
  <c r="H698" i="254"/>
  <c r="H697" i="254"/>
  <c r="H696" i="254"/>
  <c r="H695" i="254"/>
  <c r="H729" i="254" l="1"/>
  <c r="E245" i="229"/>
  <c r="F245" i="229"/>
  <c r="F145" i="229"/>
  <c r="E145" i="229"/>
  <c r="G145" i="229" s="1"/>
  <c r="F240" i="229"/>
  <c r="E240" i="229"/>
  <c r="D240" i="229"/>
  <c r="F228" i="229"/>
  <c r="E228" i="229"/>
  <c r="D228" i="229"/>
  <c r="F171" i="229"/>
  <c r="D171" i="229"/>
  <c r="D145" i="229"/>
  <c r="F134" i="229"/>
  <c r="E134" i="229"/>
  <c r="D134" i="229"/>
  <c r="F113" i="229"/>
  <c r="E113" i="229"/>
  <c r="D113" i="229"/>
  <c r="F86" i="229"/>
  <c r="E86" i="229"/>
  <c r="D86" i="229"/>
  <c r="F63" i="229"/>
  <c r="E63" i="229"/>
  <c r="D63" i="229"/>
  <c r="F54" i="229"/>
  <c r="E54" i="229"/>
  <c r="D54" i="229"/>
  <c r="F36" i="229"/>
  <c r="D36" i="229"/>
  <c r="E20" i="229"/>
  <c r="D20" i="229"/>
  <c r="E485" i="254"/>
  <c r="F485" i="254"/>
  <c r="G485" i="254"/>
  <c r="E476" i="254"/>
  <c r="F476" i="254"/>
  <c r="G476" i="254"/>
  <c r="D476" i="254"/>
  <c r="E451" i="254"/>
  <c r="F451" i="254"/>
  <c r="G451" i="254"/>
  <c r="D451" i="254"/>
  <c r="D382" i="254"/>
  <c r="E382" i="254"/>
  <c r="F382" i="254"/>
  <c r="G382" i="254"/>
  <c r="E318" i="254"/>
  <c r="F318" i="254"/>
  <c r="G318" i="254"/>
  <c r="D318" i="254"/>
  <c r="E306" i="254"/>
  <c r="F306" i="254"/>
  <c r="G306" i="254"/>
  <c r="D306" i="254"/>
  <c r="E264" i="254"/>
  <c r="F264" i="254"/>
  <c r="G264" i="254"/>
  <c r="D264" i="254"/>
  <c r="E228" i="254"/>
  <c r="F228" i="254"/>
  <c r="G228" i="254"/>
  <c r="D228" i="254"/>
  <c r="E142" i="254"/>
  <c r="F142" i="254"/>
  <c r="G142" i="254"/>
  <c r="D142" i="254"/>
  <c r="E128" i="254"/>
  <c r="F128" i="254"/>
  <c r="G128" i="254"/>
  <c r="D128" i="254"/>
  <c r="E96" i="254"/>
  <c r="F96" i="254"/>
  <c r="G96" i="254"/>
  <c r="D96" i="254"/>
  <c r="I77" i="254"/>
  <c r="H77" i="254"/>
  <c r="D59" i="223"/>
  <c r="E59" i="223"/>
  <c r="F59" i="223"/>
  <c r="H145" i="229" l="1"/>
  <c r="H181" i="242"/>
  <c r="H182" i="242"/>
  <c r="H183" i="242"/>
  <c r="H184" i="242"/>
  <c r="H185" i="242"/>
  <c r="H186" i="242"/>
  <c r="H187" i="242"/>
  <c r="E266" i="229"/>
  <c r="F266" i="229"/>
  <c r="E305" i="229"/>
  <c r="F305" i="229"/>
  <c r="E293" i="229"/>
  <c r="F293" i="229"/>
  <c r="G516" i="254"/>
  <c r="F516" i="254"/>
  <c r="P12" i="213"/>
  <c r="P13" i="213"/>
  <c r="O12" i="213"/>
  <c r="O13" i="213"/>
  <c r="N12" i="213"/>
  <c r="N13" i="213"/>
  <c r="M12" i="213"/>
  <c r="M13" i="213"/>
  <c r="M14" i="213"/>
  <c r="N14" i="213"/>
  <c r="F692" i="254" l="1"/>
  <c r="F685" i="254"/>
  <c r="G692" i="254" l="1"/>
  <c r="G685" i="254"/>
  <c r="D961" i="254" l="1"/>
  <c r="E961" i="254"/>
  <c r="F961" i="254"/>
  <c r="D893" i="254"/>
  <c r="E893" i="254"/>
  <c r="F893" i="254"/>
  <c r="E741" i="254"/>
  <c r="F741" i="254"/>
  <c r="D692" i="254"/>
  <c r="E692" i="254"/>
  <c r="D685" i="254"/>
  <c r="E685" i="254"/>
  <c r="D610" i="254"/>
  <c r="E610" i="254"/>
  <c r="F610" i="254"/>
  <c r="D590" i="254"/>
  <c r="E590" i="254"/>
  <c r="F590" i="254"/>
  <c r="D546" i="254"/>
  <c r="E546" i="254"/>
  <c r="F546" i="254"/>
  <c r="D78" i="254"/>
  <c r="E78" i="254"/>
  <c r="D485" i="254"/>
  <c r="D516" i="254"/>
  <c r="H516" i="254" s="1"/>
  <c r="E516" i="254"/>
  <c r="F912" i="254"/>
  <c r="D912" i="254"/>
  <c r="G78" i="254" l="1"/>
  <c r="G546" i="254"/>
  <c r="G590" i="254"/>
  <c r="G610" i="254"/>
  <c r="G741" i="254"/>
  <c r="G893" i="254"/>
  <c r="G961" i="254"/>
  <c r="E912" i="254"/>
  <c r="G912" i="254"/>
  <c r="C3" i="246" l="1"/>
  <c r="C3" i="248"/>
  <c r="C3" i="247"/>
  <c r="C3" i="245"/>
  <c r="I391" i="254"/>
  <c r="H391" i="254"/>
  <c r="I390" i="254"/>
  <c r="H390" i="254"/>
  <c r="I384" i="254"/>
  <c r="H384" i="254"/>
  <c r="H230" i="254"/>
  <c r="G182" i="242" l="1"/>
  <c r="G183" i="242"/>
  <c r="G184" i="242"/>
  <c r="G185" i="242"/>
  <c r="G186" i="242"/>
  <c r="G187" i="242"/>
  <c r="G181" i="242"/>
  <c r="G180" i="242"/>
  <c r="H180" i="242"/>
  <c r="G986" i="254" l="1"/>
  <c r="F986" i="254"/>
  <c r="E986" i="254"/>
  <c r="D986" i="254"/>
  <c r="I985" i="254"/>
  <c r="H985" i="254"/>
  <c r="I984" i="254"/>
  <c r="H984" i="254"/>
  <c r="I983" i="254"/>
  <c r="H983" i="254"/>
  <c r="I982" i="254"/>
  <c r="H982" i="254"/>
  <c r="I981" i="254"/>
  <c r="H981" i="254"/>
  <c r="I980" i="254"/>
  <c r="H980" i="254"/>
  <c r="I979" i="254"/>
  <c r="H979" i="254"/>
  <c r="I978" i="254"/>
  <c r="H978" i="254"/>
  <c r="I977" i="254"/>
  <c r="H977" i="254"/>
  <c r="I976" i="254"/>
  <c r="H976" i="254"/>
  <c r="I975" i="254"/>
  <c r="H975" i="254"/>
  <c r="I974" i="254"/>
  <c r="H974" i="254"/>
  <c r="I973" i="254"/>
  <c r="H973" i="254"/>
  <c r="I972" i="254"/>
  <c r="H972" i="254"/>
  <c r="I971" i="254"/>
  <c r="H971" i="254"/>
  <c r="I970" i="254"/>
  <c r="H970" i="254"/>
  <c r="I969" i="254"/>
  <c r="H969" i="254"/>
  <c r="I968" i="254"/>
  <c r="H968" i="254"/>
  <c r="I967" i="254"/>
  <c r="H967" i="254"/>
  <c r="I966" i="254"/>
  <c r="H966" i="254"/>
  <c r="I965" i="254"/>
  <c r="H965" i="254"/>
  <c r="I964" i="254"/>
  <c r="H964" i="254"/>
  <c r="I911" i="254"/>
  <c r="H911" i="254"/>
  <c r="I905" i="254"/>
  <c r="H905" i="254"/>
  <c r="I904" i="254"/>
  <c r="H904" i="254"/>
  <c r="I903" i="254"/>
  <c r="H903" i="254"/>
  <c r="I902" i="254"/>
  <c r="H902" i="254"/>
  <c r="I901" i="254"/>
  <c r="H901" i="254"/>
  <c r="I900" i="254"/>
  <c r="H900" i="254"/>
  <c r="I899" i="254"/>
  <c r="H899" i="254"/>
  <c r="I898" i="254"/>
  <c r="H898" i="254"/>
  <c r="I897" i="254"/>
  <c r="H897" i="254"/>
  <c r="I896" i="254"/>
  <c r="H896" i="254"/>
  <c r="I960" i="254"/>
  <c r="H960" i="254"/>
  <c r="I959" i="254"/>
  <c r="H959" i="254"/>
  <c r="I958" i="254"/>
  <c r="H958" i="254"/>
  <c r="I957" i="254"/>
  <c r="H957" i="254"/>
  <c r="I956" i="254"/>
  <c r="H956" i="254"/>
  <c r="I955" i="254"/>
  <c r="H955" i="254"/>
  <c r="I954" i="254"/>
  <c r="H954" i="254"/>
  <c r="I953" i="254"/>
  <c r="H953" i="254"/>
  <c r="I952" i="254"/>
  <c r="H952" i="254"/>
  <c r="I951" i="254"/>
  <c r="H951" i="254"/>
  <c r="I950" i="254"/>
  <c r="H950" i="254"/>
  <c r="I949" i="254"/>
  <c r="H949" i="254"/>
  <c r="I948" i="254"/>
  <c r="H948" i="254"/>
  <c r="I947" i="254"/>
  <c r="H947" i="254"/>
  <c r="I946" i="254"/>
  <c r="H946" i="254"/>
  <c r="I945" i="254"/>
  <c r="H945" i="254"/>
  <c r="I944" i="254"/>
  <c r="H944" i="254"/>
  <c r="I943" i="254"/>
  <c r="H943" i="254"/>
  <c r="I942" i="254"/>
  <c r="H942" i="254"/>
  <c r="I941" i="254"/>
  <c r="H941" i="254"/>
  <c r="I940" i="254"/>
  <c r="H940" i="254"/>
  <c r="I939" i="254"/>
  <c r="H939" i="254"/>
  <c r="I938" i="254"/>
  <c r="H938" i="254"/>
  <c r="I937" i="254"/>
  <c r="H937" i="254"/>
  <c r="I936" i="254"/>
  <c r="H936" i="254"/>
  <c r="I935" i="254"/>
  <c r="H935" i="254"/>
  <c r="I934" i="254"/>
  <c r="H934" i="254"/>
  <c r="I933" i="254"/>
  <c r="H933" i="254"/>
  <c r="I932" i="254"/>
  <c r="H932" i="254"/>
  <c r="I931" i="254"/>
  <c r="H931" i="254"/>
  <c r="I930" i="254"/>
  <c r="H930" i="254"/>
  <c r="I929" i="254"/>
  <c r="H929" i="254"/>
  <c r="I928" i="254"/>
  <c r="H928" i="254"/>
  <c r="I927" i="254"/>
  <c r="H927" i="254"/>
  <c r="I926" i="254"/>
  <c r="H926" i="254"/>
  <c r="I925" i="254"/>
  <c r="H925" i="254"/>
  <c r="I924" i="254"/>
  <c r="H924" i="254"/>
  <c r="I923" i="254"/>
  <c r="H923" i="254"/>
  <c r="I922" i="254"/>
  <c r="H922" i="254"/>
  <c r="I921" i="254"/>
  <c r="H921" i="254"/>
  <c r="I920" i="254"/>
  <c r="H920" i="254"/>
  <c r="I919" i="254"/>
  <c r="H919" i="254"/>
  <c r="I918" i="254"/>
  <c r="H918" i="254"/>
  <c r="I917" i="254"/>
  <c r="H917" i="254"/>
  <c r="I916" i="254"/>
  <c r="H916" i="254"/>
  <c r="I915" i="254"/>
  <c r="H915" i="254"/>
  <c r="I892" i="254"/>
  <c r="H892" i="254"/>
  <c r="I886" i="254"/>
  <c r="H886" i="254"/>
  <c r="I885" i="254"/>
  <c r="H885" i="254"/>
  <c r="I884" i="254"/>
  <c r="H884" i="254"/>
  <c r="I880" i="254"/>
  <c r="H880" i="254"/>
  <c r="I879" i="254"/>
  <c r="H879" i="254"/>
  <c r="I878" i="254"/>
  <c r="H878" i="254"/>
  <c r="I877" i="254"/>
  <c r="H877" i="254"/>
  <c r="H876" i="254"/>
  <c r="H875" i="254"/>
  <c r="I874" i="254"/>
  <c r="H874" i="254"/>
  <c r="I872" i="254"/>
  <c r="H871" i="254"/>
  <c r="I870" i="254"/>
  <c r="H870" i="254"/>
  <c r="I869" i="254"/>
  <c r="H869" i="254"/>
  <c r="I868" i="254"/>
  <c r="H868" i="254"/>
  <c r="I867" i="254"/>
  <c r="H867" i="254"/>
  <c r="I863" i="254"/>
  <c r="H863" i="254"/>
  <c r="I862" i="254"/>
  <c r="H862" i="254"/>
  <c r="I859" i="254"/>
  <c r="H859" i="254"/>
  <c r="I858" i="254"/>
  <c r="H858" i="254"/>
  <c r="I857" i="254"/>
  <c r="H857" i="254"/>
  <c r="I856" i="254"/>
  <c r="H856" i="254"/>
  <c r="I855" i="254"/>
  <c r="H855" i="254"/>
  <c r="I854" i="254"/>
  <c r="H854" i="254"/>
  <c r="I853" i="254"/>
  <c r="H853" i="254"/>
  <c r="I852" i="254"/>
  <c r="H852" i="254"/>
  <c r="I851" i="254"/>
  <c r="H851" i="254"/>
  <c r="I850" i="254"/>
  <c r="H850" i="254"/>
  <c r="I849" i="254"/>
  <c r="H849" i="254"/>
  <c r="I848" i="254"/>
  <c r="H848" i="254"/>
  <c r="I847" i="254"/>
  <c r="H847" i="254"/>
  <c r="I846" i="254"/>
  <c r="H846" i="254"/>
  <c r="I845" i="254"/>
  <c r="H845" i="254"/>
  <c r="I844" i="254"/>
  <c r="H844" i="254"/>
  <c r="I843" i="254"/>
  <c r="H843" i="254"/>
  <c r="I842" i="254"/>
  <c r="H842" i="254"/>
  <c r="I841" i="254"/>
  <c r="H841" i="254"/>
  <c r="I840" i="254"/>
  <c r="H840" i="254"/>
  <c r="I839" i="254"/>
  <c r="H839" i="254"/>
  <c r="I838" i="254"/>
  <c r="H838" i="254"/>
  <c r="I837" i="254"/>
  <c r="H837" i="254"/>
  <c r="I836" i="254"/>
  <c r="H836" i="254"/>
  <c r="I835" i="254"/>
  <c r="H835" i="254"/>
  <c r="I834" i="254"/>
  <c r="H834" i="254"/>
  <c r="I831" i="254"/>
  <c r="H831" i="254"/>
  <c r="I830" i="254"/>
  <c r="H830" i="254"/>
  <c r="I829" i="254"/>
  <c r="H829" i="254"/>
  <c r="I828" i="254"/>
  <c r="H828" i="254"/>
  <c r="I827" i="254"/>
  <c r="H827" i="254"/>
  <c r="I826" i="254"/>
  <c r="H826" i="254"/>
  <c r="I825" i="254"/>
  <c r="H825" i="254"/>
  <c r="I822" i="254"/>
  <c r="H822" i="254"/>
  <c r="I821" i="254"/>
  <c r="H821" i="254"/>
  <c r="I820" i="254"/>
  <c r="H820" i="254"/>
  <c r="I819" i="254"/>
  <c r="H819" i="254"/>
  <c r="I818" i="254"/>
  <c r="H818" i="254"/>
  <c r="I817" i="254"/>
  <c r="H817" i="254"/>
  <c r="I816" i="254"/>
  <c r="H816" i="254"/>
  <c r="I815" i="254"/>
  <c r="H815" i="254"/>
  <c r="I814" i="254"/>
  <c r="H814" i="254"/>
  <c r="I813" i="254"/>
  <c r="H813" i="254"/>
  <c r="I812" i="254"/>
  <c r="H812" i="254"/>
  <c r="I811" i="254"/>
  <c r="H811" i="254"/>
  <c r="I810" i="254"/>
  <c r="H810" i="254"/>
  <c r="I809" i="254"/>
  <c r="H809" i="254"/>
  <c r="I808" i="254"/>
  <c r="H808" i="254"/>
  <c r="I804" i="254"/>
  <c r="H804" i="254"/>
  <c r="I803" i="254"/>
  <c r="H803" i="254"/>
  <c r="I802" i="254"/>
  <c r="H802" i="254"/>
  <c r="I801" i="254"/>
  <c r="H801" i="254"/>
  <c r="I800" i="254"/>
  <c r="H800" i="254"/>
  <c r="I799" i="254"/>
  <c r="H799" i="254"/>
  <c r="I798" i="254"/>
  <c r="H798" i="254"/>
  <c r="I797" i="254"/>
  <c r="H797" i="254"/>
  <c r="I796" i="254"/>
  <c r="H796" i="254"/>
  <c r="I795" i="254"/>
  <c r="H795" i="254"/>
  <c r="I794" i="254"/>
  <c r="H794" i="254"/>
  <c r="I793" i="254"/>
  <c r="H793" i="254"/>
  <c r="I792" i="254"/>
  <c r="H792" i="254"/>
  <c r="I791" i="254"/>
  <c r="H791" i="254"/>
  <c r="I790" i="254"/>
  <c r="H790" i="254"/>
  <c r="I789" i="254"/>
  <c r="H789" i="254"/>
  <c r="I788" i="254"/>
  <c r="H788" i="254"/>
  <c r="I787" i="254"/>
  <c r="H787" i="254"/>
  <c r="I786" i="254"/>
  <c r="H786" i="254"/>
  <c r="I785" i="254"/>
  <c r="H785" i="254"/>
  <c r="I784" i="254"/>
  <c r="H784" i="254"/>
  <c r="I783" i="254"/>
  <c r="H783" i="254"/>
  <c r="I782" i="254"/>
  <c r="H782" i="254"/>
  <c r="I781" i="254"/>
  <c r="H781" i="254"/>
  <c r="I780" i="254"/>
  <c r="H780" i="254"/>
  <c r="I779" i="254"/>
  <c r="H779" i="254"/>
  <c r="I778" i="254"/>
  <c r="H778" i="254"/>
  <c r="I777" i="254"/>
  <c r="H777" i="254"/>
  <c r="I776" i="254"/>
  <c r="H776" i="254"/>
  <c r="I775" i="254"/>
  <c r="H775" i="254"/>
  <c r="I772" i="254"/>
  <c r="H772" i="254"/>
  <c r="H771" i="254"/>
  <c r="I770" i="254"/>
  <c r="H770" i="254"/>
  <c r="I769" i="254"/>
  <c r="H769" i="254"/>
  <c r="I765" i="254"/>
  <c r="H765" i="254"/>
  <c r="I764" i="254"/>
  <c r="H764" i="254"/>
  <c r="I763" i="254"/>
  <c r="H763" i="254"/>
  <c r="I762" i="254"/>
  <c r="H762" i="254"/>
  <c r="I761" i="254"/>
  <c r="H761" i="254"/>
  <c r="I760" i="254"/>
  <c r="H760" i="254"/>
  <c r="I759" i="254"/>
  <c r="H759" i="254"/>
  <c r="I758" i="254"/>
  <c r="H758" i="254"/>
  <c r="I746" i="254"/>
  <c r="H746" i="254"/>
  <c r="I745" i="254"/>
  <c r="H745" i="254"/>
  <c r="I744" i="254"/>
  <c r="H744" i="254"/>
  <c r="I740" i="254"/>
  <c r="I739" i="254"/>
  <c r="I738" i="254"/>
  <c r="I737" i="254"/>
  <c r="I736" i="254"/>
  <c r="I735" i="254"/>
  <c r="I734" i="254"/>
  <c r="I733" i="254"/>
  <c r="I731" i="254"/>
  <c r="I728" i="254"/>
  <c r="I727" i="254"/>
  <c r="I726" i="254"/>
  <c r="I725" i="254"/>
  <c r="I724" i="254"/>
  <c r="I723" i="254"/>
  <c r="I722" i="254"/>
  <c r="I721" i="254"/>
  <c r="I720" i="254"/>
  <c r="I719" i="254"/>
  <c r="I718" i="254"/>
  <c r="I717" i="254"/>
  <c r="I716" i="254"/>
  <c r="I715" i="254"/>
  <c r="I714" i="254"/>
  <c r="I713" i="254"/>
  <c r="I712" i="254"/>
  <c r="I711" i="254"/>
  <c r="I710" i="254"/>
  <c r="I709" i="254"/>
  <c r="I708" i="254"/>
  <c r="I707" i="254"/>
  <c r="I706" i="254"/>
  <c r="I705" i="254"/>
  <c r="I704" i="254"/>
  <c r="I703" i="254"/>
  <c r="I702" i="254"/>
  <c r="I701" i="254"/>
  <c r="I700" i="254"/>
  <c r="I699" i="254"/>
  <c r="I698" i="254"/>
  <c r="I697" i="254"/>
  <c r="I696" i="254"/>
  <c r="I695" i="254"/>
  <c r="I691" i="254"/>
  <c r="H691" i="254"/>
  <c r="I690" i="254"/>
  <c r="H690" i="254"/>
  <c r="I689" i="254"/>
  <c r="H689" i="254"/>
  <c r="I688" i="254"/>
  <c r="H688" i="254"/>
  <c r="I687" i="254"/>
  <c r="H687" i="254"/>
  <c r="I684" i="254"/>
  <c r="H684" i="254"/>
  <c r="I683" i="254"/>
  <c r="H683" i="254"/>
  <c r="I682" i="254"/>
  <c r="H682" i="254"/>
  <c r="I681" i="254"/>
  <c r="H681" i="254"/>
  <c r="I680" i="254"/>
  <c r="H680" i="254"/>
  <c r="I679" i="254"/>
  <c r="H679" i="254"/>
  <c r="I678" i="254"/>
  <c r="H678" i="254"/>
  <c r="I677" i="254"/>
  <c r="H677" i="254"/>
  <c r="I676" i="254"/>
  <c r="H676" i="254"/>
  <c r="I675" i="254"/>
  <c r="H675" i="254"/>
  <c r="I674" i="254"/>
  <c r="H674" i="254"/>
  <c r="I673" i="254"/>
  <c r="H673" i="254"/>
  <c r="I672" i="254"/>
  <c r="H672" i="254"/>
  <c r="I671" i="254"/>
  <c r="H671" i="254"/>
  <c r="I670" i="254"/>
  <c r="H670" i="254"/>
  <c r="I669" i="254"/>
  <c r="H669" i="254"/>
  <c r="I668" i="254"/>
  <c r="H668" i="254"/>
  <c r="I667" i="254"/>
  <c r="H667" i="254"/>
  <c r="I666" i="254"/>
  <c r="H666" i="254"/>
  <c r="I665" i="254"/>
  <c r="H665" i="254"/>
  <c r="I664" i="254"/>
  <c r="H664" i="254"/>
  <c r="I663" i="254"/>
  <c r="H663" i="254"/>
  <c r="I662" i="254"/>
  <c r="H662" i="254"/>
  <c r="I661" i="254"/>
  <c r="H661" i="254"/>
  <c r="I660" i="254"/>
  <c r="H660" i="254"/>
  <c r="I659" i="254"/>
  <c r="H659" i="254"/>
  <c r="I658" i="254"/>
  <c r="H658" i="254"/>
  <c r="I657" i="254"/>
  <c r="H657" i="254"/>
  <c r="I656" i="254"/>
  <c r="H656" i="254"/>
  <c r="I655" i="254"/>
  <c r="H655" i="254"/>
  <c r="I654" i="254"/>
  <c r="H654" i="254"/>
  <c r="I653" i="254"/>
  <c r="H653" i="254"/>
  <c r="I648" i="254"/>
  <c r="H648" i="254"/>
  <c r="H647" i="254"/>
  <c r="I646" i="254"/>
  <c r="H646" i="254"/>
  <c r="I645" i="254"/>
  <c r="H645" i="254"/>
  <c r="I644" i="254"/>
  <c r="H644" i="254"/>
  <c r="I643" i="254"/>
  <c r="H643" i="254"/>
  <c r="I609" i="254"/>
  <c r="H609" i="254"/>
  <c r="I608" i="254"/>
  <c r="H608" i="254"/>
  <c r="I607" i="254"/>
  <c r="H607" i="254"/>
  <c r="I606" i="254"/>
  <c r="H606" i="254"/>
  <c r="I604" i="254"/>
  <c r="H604" i="254"/>
  <c r="I603" i="254"/>
  <c r="H603" i="254"/>
  <c r="I602" i="254"/>
  <c r="H602" i="254"/>
  <c r="I601" i="254"/>
  <c r="H601" i="254"/>
  <c r="I600" i="254"/>
  <c r="H600" i="254"/>
  <c r="I599" i="254"/>
  <c r="H599" i="254"/>
  <c r="I598" i="254"/>
  <c r="H598" i="254"/>
  <c r="I597" i="254"/>
  <c r="H597" i="254"/>
  <c r="I596" i="254"/>
  <c r="H596" i="254"/>
  <c r="I595" i="254"/>
  <c r="H595" i="254"/>
  <c r="I594" i="254"/>
  <c r="H594" i="254"/>
  <c r="I593" i="254"/>
  <c r="H593" i="254"/>
  <c r="I592" i="254"/>
  <c r="H592" i="254"/>
  <c r="I589" i="254"/>
  <c r="H589" i="254"/>
  <c r="I588" i="254"/>
  <c r="H588" i="254"/>
  <c r="I587" i="254"/>
  <c r="H587" i="254"/>
  <c r="I586" i="254"/>
  <c r="H586" i="254"/>
  <c r="I585" i="254"/>
  <c r="H585" i="254"/>
  <c r="I583" i="254"/>
  <c r="H583" i="254"/>
  <c r="I582" i="254"/>
  <c r="H582" i="254"/>
  <c r="I581" i="254"/>
  <c r="H581" i="254"/>
  <c r="I580" i="254"/>
  <c r="H580" i="254"/>
  <c r="I579" i="254"/>
  <c r="H579" i="254"/>
  <c r="I578" i="254"/>
  <c r="H578" i="254"/>
  <c r="I577" i="254"/>
  <c r="H577" i="254"/>
  <c r="I576" i="254"/>
  <c r="H576" i="254"/>
  <c r="I575" i="254"/>
  <c r="H575" i="254"/>
  <c r="I574" i="254"/>
  <c r="H574" i="254"/>
  <c r="I573" i="254"/>
  <c r="H573" i="254"/>
  <c r="I572" i="254"/>
  <c r="H572" i="254"/>
  <c r="I571" i="254"/>
  <c r="H571" i="254"/>
  <c r="I570" i="254"/>
  <c r="H570" i="254"/>
  <c r="I569" i="254"/>
  <c r="H569" i="254"/>
  <c r="I568" i="254"/>
  <c r="H568" i="254"/>
  <c r="I567" i="254"/>
  <c r="H567" i="254"/>
  <c r="I566" i="254"/>
  <c r="H566" i="254"/>
  <c r="I565" i="254"/>
  <c r="H565" i="254"/>
  <c r="I564" i="254"/>
  <c r="H564" i="254"/>
  <c r="I563" i="254"/>
  <c r="H563" i="254"/>
  <c r="I562" i="254"/>
  <c r="H562" i="254"/>
  <c r="I561" i="254"/>
  <c r="H561" i="254"/>
  <c r="I560" i="254"/>
  <c r="H560" i="254"/>
  <c r="I559" i="254"/>
  <c r="H559" i="254"/>
  <c r="I558" i="254"/>
  <c r="H558" i="254"/>
  <c r="I557" i="254"/>
  <c r="H557" i="254"/>
  <c r="I556" i="254"/>
  <c r="H556" i="254"/>
  <c r="I555" i="254"/>
  <c r="H555" i="254"/>
  <c r="I554" i="254"/>
  <c r="H554" i="254"/>
  <c r="I553" i="254"/>
  <c r="H553" i="254"/>
  <c r="I552" i="254"/>
  <c r="H552" i="254"/>
  <c r="I551" i="254"/>
  <c r="H551" i="254"/>
  <c r="I550" i="254"/>
  <c r="H550" i="254"/>
  <c r="I549" i="254"/>
  <c r="H549" i="254"/>
  <c r="I548" i="254"/>
  <c r="H548" i="254"/>
  <c r="I545" i="254"/>
  <c r="H545" i="254"/>
  <c r="I544" i="254"/>
  <c r="H544" i="254"/>
  <c r="I543" i="254"/>
  <c r="H543" i="254"/>
  <c r="I542" i="254"/>
  <c r="H542" i="254"/>
  <c r="I541" i="254"/>
  <c r="H541" i="254"/>
  <c r="I540" i="254"/>
  <c r="H540" i="254"/>
  <c r="I539" i="254"/>
  <c r="H539" i="254"/>
  <c r="I538" i="254"/>
  <c r="H538" i="254"/>
  <c r="I537" i="254"/>
  <c r="H537" i="254"/>
  <c r="I536" i="254"/>
  <c r="H536" i="254"/>
  <c r="I535" i="254"/>
  <c r="H535" i="254"/>
  <c r="I534" i="254"/>
  <c r="H534" i="254"/>
  <c r="I533" i="254"/>
  <c r="H533" i="254"/>
  <c r="I532" i="254"/>
  <c r="H532" i="254"/>
  <c r="I531" i="254"/>
  <c r="H531" i="254"/>
  <c r="I530" i="254"/>
  <c r="H530" i="254"/>
  <c r="I528" i="254"/>
  <c r="H528" i="254"/>
  <c r="I527" i="254"/>
  <c r="H527" i="254"/>
  <c r="I526" i="254"/>
  <c r="H526" i="254"/>
  <c r="I525" i="254"/>
  <c r="H525" i="254"/>
  <c r="I524" i="254"/>
  <c r="H524" i="254"/>
  <c r="I523" i="254"/>
  <c r="H523" i="254"/>
  <c r="I522" i="254"/>
  <c r="H522" i="254"/>
  <c r="I521" i="254"/>
  <c r="H521" i="254"/>
  <c r="I520" i="254"/>
  <c r="H520" i="254"/>
  <c r="I519" i="254"/>
  <c r="H519" i="254"/>
  <c r="I518" i="254"/>
  <c r="H518" i="254"/>
  <c r="I514" i="254"/>
  <c r="H514" i="254"/>
  <c r="I513" i="254"/>
  <c r="H513" i="254"/>
  <c r="I512" i="254"/>
  <c r="H512" i="254"/>
  <c r="I511" i="254"/>
  <c r="H511" i="254"/>
  <c r="I510" i="254"/>
  <c r="H510" i="254"/>
  <c r="I509" i="254"/>
  <c r="H509" i="254"/>
  <c r="I508" i="254"/>
  <c r="H508" i="254"/>
  <c r="I507" i="254"/>
  <c r="H507" i="254"/>
  <c r="I506" i="254"/>
  <c r="H506" i="254"/>
  <c r="I505" i="254"/>
  <c r="H505" i="254"/>
  <c r="I504" i="254"/>
  <c r="H504" i="254"/>
  <c r="I503" i="254"/>
  <c r="H503" i="254"/>
  <c r="I502" i="254"/>
  <c r="H502" i="254"/>
  <c r="I501" i="254"/>
  <c r="H501" i="254"/>
  <c r="I499" i="254"/>
  <c r="H499" i="254"/>
  <c r="I498" i="254"/>
  <c r="H498" i="254"/>
  <c r="I497" i="254"/>
  <c r="H497" i="254"/>
  <c r="I496" i="254"/>
  <c r="H496" i="254"/>
  <c r="I495" i="254"/>
  <c r="H495" i="254"/>
  <c r="H494" i="254"/>
  <c r="I493" i="254"/>
  <c r="H493" i="254"/>
  <c r="H492" i="254"/>
  <c r="I491" i="254"/>
  <c r="H491" i="254"/>
  <c r="I490" i="254"/>
  <c r="H490" i="254"/>
  <c r="I489" i="254"/>
  <c r="H489" i="254"/>
  <c r="I488" i="254"/>
  <c r="H488" i="254"/>
  <c r="I484" i="254"/>
  <c r="H484" i="254"/>
  <c r="I483" i="254"/>
  <c r="H483" i="254"/>
  <c r="I482" i="254"/>
  <c r="H482" i="254"/>
  <c r="I481" i="254"/>
  <c r="H481" i="254"/>
  <c r="I480" i="254"/>
  <c r="H480" i="254"/>
  <c r="I479" i="254"/>
  <c r="H479" i="254"/>
  <c r="I478" i="254"/>
  <c r="H478" i="254"/>
  <c r="I475" i="254"/>
  <c r="H475" i="254"/>
  <c r="I474" i="254"/>
  <c r="H474" i="254"/>
  <c r="I473" i="254"/>
  <c r="H473" i="254"/>
  <c r="I472" i="254"/>
  <c r="H472" i="254"/>
  <c r="I471" i="254"/>
  <c r="H471" i="254"/>
  <c r="I470" i="254"/>
  <c r="H470" i="254"/>
  <c r="I469" i="254"/>
  <c r="H469" i="254"/>
  <c r="I468" i="254"/>
  <c r="H468" i="254"/>
  <c r="I467" i="254"/>
  <c r="H467" i="254"/>
  <c r="I466" i="254"/>
  <c r="H466" i="254"/>
  <c r="I465" i="254"/>
  <c r="H465" i="254"/>
  <c r="I464" i="254"/>
  <c r="H464" i="254"/>
  <c r="I463" i="254"/>
  <c r="H463" i="254"/>
  <c r="I462" i="254"/>
  <c r="H462" i="254"/>
  <c r="I461" i="254"/>
  <c r="H461" i="254"/>
  <c r="I460" i="254"/>
  <c r="H460" i="254"/>
  <c r="I459" i="254"/>
  <c r="H459" i="254"/>
  <c r="I458" i="254"/>
  <c r="H458" i="254"/>
  <c r="I457" i="254"/>
  <c r="H457" i="254"/>
  <c r="I456" i="254"/>
  <c r="H456" i="254"/>
  <c r="I455" i="254"/>
  <c r="H455" i="254"/>
  <c r="I454" i="254"/>
  <c r="H454" i="254"/>
  <c r="I453" i="254"/>
  <c r="H453" i="254"/>
  <c r="I450" i="254"/>
  <c r="H450" i="254"/>
  <c r="I449" i="254"/>
  <c r="H449" i="254"/>
  <c r="I448" i="254"/>
  <c r="H448" i="254"/>
  <c r="I447" i="254"/>
  <c r="H447" i="254"/>
  <c r="I446" i="254"/>
  <c r="H446" i="254"/>
  <c r="I445" i="254"/>
  <c r="H445" i="254"/>
  <c r="I444" i="254"/>
  <c r="H444" i="254"/>
  <c r="I443" i="254"/>
  <c r="H443" i="254"/>
  <c r="I442" i="254"/>
  <c r="H442" i="254"/>
  <c r="I441" i="254"/>
  <c r="H441" i="254"/>
  <c r="I440" i="254"/>
  <c r="H440" i="254"/>
  <c r="I439" i="254"/>
  <c r="H439" i="254"/>
  <c r="I438" i="254"/>
  <c r="H438" i="254"/>
  <c r="I437" i="254"/>
  <c r="H437" i="254"/>
  <c r="I436" i="254"/>
  <c r="H436" i="254"/>
  <c r="I435" i="254"/>
  <c r="H435" i="254"/>
  <c r="I434" i="254"/>
  <c r="H434" i="254"/>
  <c r="I433" i="254"/>
  <c r="H433" i="254"/>
  <c r="I432" i="254"/>
  <c r="H432" i="254"/>
  <c r="I431" i="254"/>
  <c r="H431" i="254"/>
  <c r="I430" i="254"/>
  <c r="H430" i="254"/>
  <c r="I429" i="254"/>
  <c r="H429" i="254"/>
  <c r="I428" i="254"/>
  <c r="H428" i="254"/>
  <c r="I427" i="254"/>
  <c r="H427" i="254"/>
  <c r="I426" i="254"/>
  <c r="H426" i="254"/>
  <c r="I425" i="254"/>
  <c r="H425" i="254"/>
  <c r="I424" i="254"/>
  <c r="H424" i="254"/>
  <c r="I423" i="254"/>
  <c r="H423" i="254"/>
  <c r="I422" i="254"/>
  <c r="H422" i="254"/>
  <c r="I421" i="254"/>
  <c r="H421" i="254"/>
  <c r="I420" i="254"/>
  <c r="H420" i="254"/>
  <c r="I419" i="254"/>
  <c r="H419" i="254"/>
  <c r="I418" i="254"/>
  <c r="H418" i="254"/>
  <c r="I417" i="254"/>
  <c r="H417" i="254"/>
  <c r="I416" i="254"/>
  <c r="H416" i="254"/>
  <c r="I415" i="254"/>
  <c r="H415" i="254"/>
  <c r="I414" i="254"/>
  <c r="H414" i="254"/>
  <c r="I413" i="254"/>
  <c r="H413" i="254"/>
  <c r="I412" i="254"/>
  <c r="H412" i="254"/>
  <c r="I411" i="254"/>
  <c r="H411" i="254"/>
  <c r="I410" i="254"/>
  <c r="H410" i="254"/>
  <c r="I409" i="254"/>
  <c r="H409" i="254"/>
  <c r="I408" i="254"/>
  <c r="H408" i="254"/>
  <c r="I407" i="254"/>
  <c r="H407" i="254"/>
  <c r="I406" i="254"/>
  <c r="H406" i="254"/>
  <c r="I405" i="254"/>
  <c r="H405" i="254"/>
  <c r="I404" i="254"/>
  <c r="H404" i="254"/>
  <c r="I403" i="254"/>
  <c r="H403" i="254"/>
  <c r="I402" i="254"/>
  <c r="H402" i="254"/>
  <c r="I401" i="254"/>
  <c r="H401" i="254"/>
  <c r="I400" i="254"/>
  <c r="H400" i="254"/>
  <c r="I399" i="254"/>
  <c r="H399" i="254"/>
  <c r="I398" i="254"/>
  <c r="H398" i="254"/>
  <c r="I397" i="254"/>
  <c r="H397" i="254"/>
  <c r="I396" i="254"/>
  <c r="H396" i="254"/>
  <c r="I395" i="254"/>
  <c r="H395" i="254"/>
  <c r="I394" i="254"/>
  <c r="H394" i="254"/>
  <c r="I393" i="254"/>
  <c r="H393" i="254"/>
  <c r="I392" i="254"/>
  <c r="H392" i="254"/>
  <c r="I389" i="254"/>
  <c r="H389" i="254"/>
  <c r="I388" i="254"/>
  <c r="H388" i="254"/>
  <c r="I387" i="254"/>
  <c r="H387" i="254"/>
  <c r="I386" i="254"/>
  <c r="H386" i="254"/>
  <c r="I385" i="254"/>
  <c r="H385" i="254"/>
  <c r="I381" i="254"/>
  <c r="H381" i="254"/>
  <c r="I380" i="254"/>
  <c r="H380" i="254"/>
  <c r="I379" i="254"/>
  <c r="H379" i="254"/>
  <c r="I378" i="254"/>
  <c r="H378" i="254"/>
  <c r="I377" i="254"/>
  <c r="H377" i="254"/>
  <c r="I376" i="254"/>
  <c r="H376" i="254"/>
  <c r="I375" i="254"/>
  <c r="H375" i="254"/>
  <c r="I374" i="254"/>
  <c r="H374" i="254"/>
  <c r="I373" i="254"/>
  <c r="H373" i="254"/>
  <c r="I372" i="254"/>
  <c r="H372" i="254"/>
  <c r="I371" i="254"/>
  <c r="H371" i="254"/>
  <c r="I370" i="254"/>
  <c r="H370" i="254"/>
  <c r="I369" i="254"/>
  <c r="H369" i="254"/>
  <c r="I368" i="254"/>
  <c r="H368" i="254"/>
  <c r="I367" i="254"/>
  <c r="H367" i="254"/>
  <c r="I366" i="254"/>
  <c r="H366" i="254"/>
  <c r="I365" i="254"/>
  <c r="H365" i="254"/>
  <c r="I364" i="254"/>
  <c r="H364" i="254"/>
  <c r="I363" i="254"/>
  <c r="H363" i="254"/>
  <c r="I362" i="254"/>
  <c r="H362" i="254"/>
  <c r="I361" i="254"/>
  <c r="H361" i="254"/>
  <c r="I360" i="254"/>
  <c r="H360" i="254"/>
  <c r="I359" i="254"/>
  <c r="H359" i="254"/>
  <c r="I358" i="254"/>
  <c r="H358" i="254"/>
  <c r="I357" i="254"/>
  <c r="H357" i="254"/>
  <c r="I356" i="254"/>
  <c r="H356" i="254"/>
  <c r="I355" i="254"/>
  <c r="H355" i="254"/>
  <c r="I354" i="254"/>
  <c r="H354" i="254"/>
  <c r="I353" i="254"/>
  <c r="H353" i="254"/>
  <c r="I352" i="254"/>
  <c r="H352" i="254"/>
  <c r="I351" i="254"/>
  <c r="H351" i="254"/>
  <c r="I350" i="254"/>
  <c r="H350" i="254"/>
  <c r="I349" i="254"/>
  <c r="H349" i="254"/>
  <c r="I348" i="254"/>
  <c r="H348" i="254"/>
  <c r="I347" i="254"/>
  <c r="H347" i="254"/>
  <c r="I346" i="254"/>
  <c r="H346" i="254"/>
  <c r="I345" i="254"/>
  <c r="I344" i="254"/>
  <c r="H344" i="254"/>
  <c r="I343" i="254"/>
  <c r="H343" i="254"/>
  <c r="I342" i="254"/>
  <c r="H342" i="254"/>
  <c r="I341" i="254"/>
  <c r="H341" i="254"/>
  <c r="I340" i="254"/>
  <c r="H340" i="254"/>
  <c r="I339" i="254"/>
  <c r="H339" i="254"/>
  <c r="I338" i="254"/>
  <c r="H338" i="254"/>
  <c r="I337" i="254"/>
  <c r="H337" i="254"/>
  <c r="I336" i="254"/>
  <c r="H336" i="254"/>
  <c r="I335" i="254"/>
  <c r="H335" i="254"/>
  <c r="I334" i="254"/>
  <c r="H334" i="254"/>
  <c r="I333" i="254"/>
  <c r="H333" i="254"/>
  <c r="I332" i="254"/>
  <c r="H332" i="254"/>
  <c r="I331" i="254"/>
  <c r="H331" i="254"/>
  <c r="I330" i="254"/>
  <c r="H330" i="254"/>
  <c r="I329" i="254"/>
  <c r="H329" i="254"/>
  <c r="I328" i="254"/>
  <c r="H328" i="254"/>
  <c r="I327" i="254"/>
  <c r="H327" i="254"/>
  <c r="I326" i="254"/>
  <c r="H326" i="254"/>
  <c r="I325" i="254"/>
  <c r="H325" i="254"/>
  <c r="I324" i="254"/>
  <c r="H324" i="254"/>
  <c r="I323" i="254"/>
  <c r="H323" i="254"/>
  <c r="I322" i="254"/>
  <c r="H322" i="254"/>
  <c r="I317" i="254"/>
  <c r="H317" i="254"/>
  <c r="I316" i="254"/>
  <c r="H316" i="254"/>
  <c r="I314" i="254"/>
  <c r="H314" i="254"/>
  <c r="I313" i="254"/>
  <c r="H313" i="254"/>
  <c r="I312" i="254"/>
  <c r="H312" i="254"/>
  <c r="I311" i="254"/>
  <c r="H311" i="254"/>
  <c r="I310" i="254"/>
  <c r="H310" i="254"/>
  <c r="I309" i="254"/>
  <c r="H309" i="254"/>
  <c r="I308" i="254"/>
  <c r="H308" i="254"/>
  <c r="I305" i="254"/>
  <c r="H305" i="254"/>
  <c r="I304" i="254"/>
  <c r="H304" i="254"/>
  <c r="I303" i="254"/>
  <c r="H303" i="254"/>
  <c r="I302" i="254"/>
  <c r="H302" i="254"/>
  <c r="I301" i="254"/>
  <c r="H301" i="254"/>
  <c r="I300" i="254"/>
  <c r="H300" i="254"/>
  <c r="I299" i="254"/>
  <c r="H299" i="254"/>
  <c r="I298" i="254"/>
  <c r="H298" i="254"/>
  <c r="I297" i="254"/>
  <c r="H297" i="254"/>
  <c r="I296" i="254"/>
  <c r="H296" i="254"/>
  <c r="I295" i="254"/>
  <c r="H295" i="254"/>
  <c r="I294" i="254"/>
  <c r="H294" i="254"/>
  <c r="I293" i="254"/>
  <c r="H293" i="254"/>
  <c r="I292" i="254"/>
  <c r="H292" i="254"/>
  <c r="I291" i="254"/>
  <c r="H291" i="254"/>
  <c r="I290" i="254"/>
  <c r="H290" i="254"/>
  <c r="I289" i="254"/>
  <c r="H289" i="254"/>
  <c r="I288" i="254"/>
  <c r="H288" i="254"/>
  <c r="I287" i="254"/>
  <c r="H287" i="254"/>
  <c r="I286" i="254"/>
  <c r="H286" i="254"/>
  <c r="I285" i="254"/>
  <c r="H285" i="254"/>
  <c r="I284" i="254"/>
  <c r="H284" i="254"/>
  <c r="I283" i="254"/>
  <c r="H283" i="254"/>
  <c r="I282" i="254"/>
  <c r="H282" i="254"/>
  <c r="I281" i="254"/>
  <c r="H281" i="254"/>
  <c r="I280" i="254"/>
  <c r="H280" i="254"/>
  <c r="I278" i="254"/>
  <c r="H278" i="254"/>
  <c r="I277" i="254"/>
  <c r="H277" i="254"/>
  <c r="I276" i="254"/>
  <c r="H276" i="254"/>
  <c r="I275" i="254"/>
  <c r="H275" i="254"/>
  <c r="I274" i="254"/>
  <c r="H274" i="254"/>
  <c r="I273" i="254"/>
  <c r="H273" i="254"/>
  <c r="I272" i="254"/>
  <c r="H272" i="254"/>
  <c r="I271" i="254"/>
  <c r="H271" i="254"/>
  <c r="I270" i="254"/>
  <c r="H270" i="254"/>
  <c r="I269" i="254"/>
  <c r="H269" i="254"/>
  <c r="I268" i="254"/>
  <c r="H268" i="254"/>
  <c r="I267" i="254"/>
  <c r="H267" i="254"/>
  <c r="I266" i="254"/>
  <c r="H266" i="254"/>
  <c r="I263" i="254"/>
  <c r="H263" i="254"/>
  <c r="I262" i="254"/>
  <c r="H262" i="254"/>
  <c r="I261" i="254"/>
  <c r="H261" i="254"/>
  <c r="I260" i="254"/>
  <c r="H260" i="254"/>
  <c r="I259" i="254"/>
  <c r="H259" i="254"/>
  <c r="I258" i="254"/>
  <c r="H258" i="254"/>
  <c r="I257" i="254"/>
  <c r="H257" i="254"/>
  <c r="I256" i="254"/>
  <c r="H256" i="254"/>
  <c r="H255" i="254"/>
  <c r="H254" i="254"/>
  <c r="H253" i="254"/>
  <c r="I252" i="254"/>
  <c r="H252" i="254"/>
  <c r="I251" i="254"/>
  <c r="H251" i="254"/>
  <c r="I250" i="254"/>
  <c r="H250" i="254"/>
  <c r="I249" i="254"/>
  <c r="H249" i="254"/>
  <c r="I248" i="254"/>
  <c r="H248" i="254"/>
  <c r="I247" i="254"/>
  <c r="H247" i="254"/>
  <c r="I246" i="254"/>
  <c r="H246" i="254"/>
  <c r="I245" i="254"/>
  <c r="H245" i="254"/>
  <c r="I244" i="254"/>
  <c r="H244" i="254"/>
  <c r="I243" i="254"/>
  <c r="H243" i="254"/>
  <c r="H242" i="254"/>
  <c r="I241" i="254"/>
  <c r="H241" i="254"/>
  <c r="I240" i="254"/>
  <c r="H240" i="254"/>
  <c r="I239" i="254"/>
  <c r="H239" i="254"/>
  <c r="I238" i="254"/>
  <c r="H238" i="254"/>
  <c r="H237" i="254"/>
  <c r="I236" i="254"/>
  <c r="H236" i="254"/>
  <c r="I235" i="254"/>
  <c r="H235" i="254"/>
  <c r="I234" i="254"/>
  <c r="H234" i="254"/>
  <c r="I233" i="254"/>
  <c r="H233" i="254"/>
  <c r="I232" i="254"/>
  <c r="H232" i="254"/>
  <c r="H231" i="254"/>
  <c r="H220" i="254"/>
  <c r="H219" i="254"/>
  <c r="H218" i="254"/>
  <c r="H217" i="254"/>
  <c r="H216" i="254"/>
  <c r="H215" i="254"/>
  <c r="H214" i="254"/>
  <c r="H213" i="254"/>
  <c r="H212" i="254"/>
  <c r="H211" i="254"/>
  <c r="H210" i="254"/>
  <c r="H209" i="254"/>
  <c r="H207" i="254"/>
  <c r="H206" i="254"/>
  <c r="H205" i="254"/>
  <c r="H204" i="254"/>
  <c r="H203" i="254"/>
  <c r="H202" i="254"/>
  <c r="H201" i="254"/>
  <c r="H200" i="254"/>
  <c r="H199" i="254"/>
  <c r="H198" i="254"/>
  <c r="H197" i="254"/>
  <c r="H196" i="254"/>
  <c r="H195" i="254"/>
  <c r="H194" i="254"/>
  <c r="H193" i="254"/>
  <c r="H192" i="254"/>
  <c r="H191" i="254"/>
  <c r="H190" i="254"/>
  <c r="H189" i="254"/>
  <c r="H188" i="254"/>
  <c r="H187" i="254"/>
  <c r="H186" i="254"/>
  <c r="H185" i="254"/>
  <c r="H184" i="254"/>
  <c r="H183" i="254"/>
  <c r="H181" i="254"/>
  <c r="H180" i="254"/>
  <c r="H178" i="254"/>
  <c r="H177" i="254"/>
  <c r="H176" i="254"/>
  <c r="H175" i="254"/>
  <c r="H174" i="254"/>
  <c r="H173" i="254"/>
  <c r="H172" i="254"/>
  <c r="H171" i="254"/>
  <c r="H170" i="254"/>
  <c r="H167" i="254"/>
  <c r="H166" i="254"/>
  <c r="H165" i="254"/>
  <c r="H164" i="254"/>
  <c r="H163" i="254"/>
  <c r="H162" i="254"/>
  <c r="H161" i="254"/>
  <c r="H160" i="254"/>
  <c r="H158" i="254"/>
  <c r="H157" i="254"/>
  <c r="H156" i="254"/>
  <c r="H155" i="254"/>
  <c r="H154" i="254"/>
  <c r="I152" i="254"/>
  <c r="H152" i="254"/>
  <c r="H151" i="254"/>
  <c r="H150" i="254"/>
  <c r="H149" i="254"/>
  <c r="H148" i="254"/>
  <c r="H147" i="254"/>
  <c r="H145" i="254"/>
  <c r="I141" i="254"/>
  <c r="H141" i="254"/>
  <c r="I140" i="254"/>
  <c r="H140" i="254"/>
  <c r="I139" i="254"/>
  <c r="H139" i="254"/>
  <c r="I138" i="254"/>
  <c r="H138" i="254"/>
  <c r="I137" i="254"/>
  <c r="H137" i="254"/>
  <c r="I136" i="254"/>
  <c r="H136" i="254"/>
  <c r="I135" i="254"/>
  <c r="H135" i="254"/>
  <c r="I134" i="254"/>
  <c r="H134" i="254"/>
  <c r="I133" i="254"/>
  <c r="H133" i="254"/>
  <c r="I132" i="254"/>
  <c r="H132" i="254"/>
  <c r="I131" i="254"/>
  <c r="H131" i="254"/>
  <c r="I130" i="254"/>
  <c r="H130" i="254"/>
  <c r="I127" i="254"/>
  <c r="H127" i="254"/>
  <c r="I126" i="254"/>
  <c r="H126" i="254"/>
  <c r="I125" i="254"/>
  <c r="H125" i="254"/>
  <c r="I124" i="254"/>
  <c r="H124" i="254"/>
  <c r="I123" i="254"/>
  <c r="H123" i="254"/>
  <c r="I122" i="254"/>
  <c r="H122" i="254"/>
  <c r="I121" i="254"/>
  <c r="H121" i="254"/>
  <c r="I120" i="254"/>
  <c r="H120" i="254"/>
  <c r="I119" i="254"/>
  <c r="H119" i="254"/>
  <c r="I118" i="254"/>
  <c r="H118" i="254"/>
  <c r="I117" i="254"/>
  <c r="H117" i="254"/>
  <c r="I116" i="254"/>
  <c r="H116" i="254"/>
  <c r="I115" i="254"/>
  <c r="H115" i="254"/>
  <c r="I114" i="254"/>
  <c r="H114" i="254"/>
  <c r="I113" i="254"/>
  <c r="H113" i="254"/>
  <c r="I112" i="254"/>
  <c r="H112" i="254"/>
  <c r="I111" i="254"/>
  <c r="H111" i="254"/>
  <c r="I110" i="254"/>
  <c r="H110" i="254"/>
  <c r="I109" i="254"/>
  <c r="H109" i="254"/>
  <c r="I108" i="254"/>
  <c r="H108" i="254"/>
  <c r="I107" i="254"/>
  <c r="H107" i="254"/>
  <c r="I106" i="254"/>
  <c r="H106" i="254"/>
  <c r="I105" i="254"/>
  <c r="H105" i="254"/>
  <c r="I104" i="254"/>
  <c r="H104" i="254"/>
  <c r="I103" i="254"/>
  <c r="H103" i="254"/>
  <c r="I102" i="254"/>
  <c r="H102" i="254"/>
  <c r="I101" i="254"/>
  <c r="H101" i="254"/>
  <c r="I100" i="254"/>
  <c r="H100" i="254"/>
  <c r="I99" i="254"/>
  <c r="H99" i="254"/>
  <c r="I98" i="254"/>
  <c r="H98" i="254"/>
  <c r="I95" i="254"/>
  <c r="H95" i="254"/>
  <c r="I94" i="254"/>
  <c r="H94" i="254"/>
  <c r="I93" i="254"/>
  <c r="H93" i="254"/>
  <c r="I92" i="254"/>
  <c r="H92" i="254"/>
  <c r="I91" i="254"/>
  <c r="H91" i="254"/>
  <c r="I90" i="254"/>
  <c r="I89" i="254"/>
  <c r="H89" i="254"/>
  <c r="I88" i="254"/>
  <c r="H88" i="254"/>
  <c r="I87" i="254"/>
  <c r="H87" i="254"/>
  <c r="I86" i="254"/>
  <c r="H86" i="254"/>
  <c r="I85" i="254"/>
  <c r="I84" i="254"/>
  <c r="I83" i="254"/>
  <c r="I82" i="254"/>
  <c r="I81" i="254"/>
  <c r="I80" i="254"/>
  <c r="I71" i="254"/>
  <c r="H71" i="254"/>
  <c r="I70" i="254"/>
  <c r="H70" i="254"/>
  <c r="I69" i="254"/>
  <c r="H69" i="254"/>
  <c r="I68" i="254"/>
  <c r="H68" i="254"/>
  <c r="I67" i="254"/>
  <c r="I66" i="254"/>
  <c r="H66" i="254"/>
  <c r="I65" i="254"/>
  <c r="H65" i="254"/>
  <c r="I64" i="254"/>
  <c r="H64" i="254"/>
  <c r="I63" i="254"/>
  <c r="H63" i="254"/>
  <c r="I62" i="254"/>
  <c r="H62" i="254"/>
  <c r="I61" i="254"/>
  <c r="H61" i="254"/>
  <c r="I60" i="254"/>
  <c r="H60" i="254"/>
  <c r="I59" i="254"/>
  <c r="H59" i="254"/>
  <c r="I58" i="254"/>
  <c r="H58" i="254"/>
  <c r="I57" i="254"/>
  <c r="H57" i="254"/>
  <c r="I56" i="254"/>
  <c r="H56" i="254"/>
  <c r="I55" i="254"/>
  <c r="H55" i="254"/>
  <c r="I54" i="254"/>
  <c r="H54" i="254"/>
  <c r="I53" i="254"/>
  <c r="H53" i="254"/>
  <c r="I52" i="254"/>
  <c r="I51" i="254"/>
  <c r="H51" i="254"/>
  <c r="I50" i="254"/>
  <c r="I49" i="254"/>
  <c r="H49" i="254"/>
  <c r="I48" i="254"/>
  <c r="H48" i="254"/>
  <c r="I47" i="254"/>
  <c r="H47" i="254"/>
  <c r="I46" i="254"/>
  <c r="H46" i="254"/>
  <c r="I45" i="254"/>
  <c r="H45" i="254"/>
  <c r="I44" i="254"/>
  <c r="H44" i="254"/>
  <c r="I43" i="254"/>
  <c r="I42" i="254"/>
  <c r="H42" i="254"/>
  <c r="I41" i="254"/>
  <c r="H41" i="254"/>
  <c r="I40" i="254"/>
  <c r="H40" i="254"/>
  <c r="I39" i="254"/>
  <c r="H39" i="254"/>
  <c r="I38" i="254"/>
  <c r="H38" i="254"/>
  <c r="I37" i="254"/>
  <c r="H37" i="254"/>
  <c r="I36" i="254"/>
  <c r="H36" i="254"/>
  <c r="I35" i="254"/>
  <c r="H35" i="254"/>
  <c r="I34" i="254"/>
  <c r="H34" i="254"/>
  <c r="I33" i="254"/>
  <c r="H33" i="254"/>
  <c r="I32" i="254"/>
  <c r="H32" i="254"/>
  <c r="I31" i="254"/>
  <c r="H31" i="254"/>
  <c r="I28" i="254"/>
  <c r="H28" i="254"/>
  <c r="I25" i="254"/>
  <c r="H25" i="254"/>
  <c r="I24" i="254"/>
  <c r="I23" i="254"/>
  <c r="H23" i="254"/>
  <c r="I22" i="254"/>
  <c r="H22" i="254"/>
  <c r="I21" i="254"/>
  <c r="H21" i="254"/>
  <c r="I19" i="254"/>
  <c r="H19" i="254"/>
  <c r="I18" i="254"/>
  <c r="H18" i="254"/>
  <c r="I17" i="254"/>
  <c r="H17" i="254"/>
  <c r="I16" i="254"/>
  <c r="H16" i="254"/>
  <c r="I15" i="254"/>
  <c r="I14" i="254"/>
  <c r="I12" i="254"/>
  <c r="H12" i="254"/>
  <c r="I11" i="254"/>
  <c r="I78" i="254" l="1"/>
  <c r="I228" i="254"/>
  <c r="I382" i="254"/>
  <c r="I516" i="254"/>
  <c r="H485" i="254"/>
  <c r="I476" i="254"/>
  <c r="H128" i="254"/>
  <c r="I264" i="254"/>
  <c r="H451" i="254"/>
  <c r="H590" i="254"/>
  <c r="H685" i="254"/>
  <c r="H741" i="254"/>
  <c r="I546" i="254"/>
  <c r="I610" i="254"/>
  <c r="I692" i="254"/>
  <c r="I729" i="254"/>
  <c r="I756" i="254"/>
  <c r="I318" i="254"/>
  <c r="H264" i="254"/>
  <c r="H382" i="254"/>
  <c r="H142" i="254"/>
  <c r="I823" i="254"/>
  <c r="I887" i="254"/>
  <c r="I890" i="254"/>
  <c r="I912" i="254"/>
  <c r="H823" i="254"/>
  <c r="H887" i="254"/>
  <c r="H912" i="254"/>
  <c r="H96" i="254"/>
  <c r="H642" i="254"/>
  <c r="I766" i="254"/>
  <c r="I986" i="254"/>
  <c r="H986" i="254"/>
  <c r="I306" i="254"/>
  <c r="H476" i="254"/>
  <c r="H546" i="254"/>
  <c r="H610" i="254"/>
  <c r="H692" i="254"/>
  <c r="H756" i="254"/>
  <c r="H766" i="254"/>
  <c r="I773" i="254"/>
  <c r="I805" i="254"/>
  <c r="I860" i="254"/>
  <c r="I864" i="254"/>
  <c r="I881" i="254"/>
  <c r="I893" i="254"/>
  <c r="I961" i="254"/>
  <c r="I96" i="254"/>
  <c r="I128" i="254"/>
  <c r="I142" i="254"/>
  <c r="H228" i="254"/>
  <c r="H306" i="254"/>
  <c r="H318" i="254"/>
  <c r="I451" i="254"/>
  <c r="I485" i="254"/>
  <c r="H893" i="254"/>
  <c r="H961" i="254"/>
  <c r="H890" i="254"/>
  <c r="H78" i="254"/>
  <c r="H872" i="254"/>
  <c r="I590" i="254"/>
  <c r="I642" i="254"/>
  <c r="I685" i="254"/>
  <c r="I741" i="254"/>
  <c r="H773" i="254"/>
  <c r="H805" i="254"/>
  <c r="H860" i="254"/>
  <c r="H864" i="254"/>
  <c r="H881" i="254"/>
  <c r="I650" i="254"/>
  <c r="H650" i="254"/>
  <c r="H54" i="223" l="1"/>
  <c r="H53" i="223"/>
  <c r="C2" i="213" l="1"/>
  <c r="C1" i="213"/>
  <c r="D245" i="229"/>
  <c r="D48" i="223"/>
  <c r="E48" i="223"/>
  <c r="F48" i="223"/>
  <c r="D37" i="223"/>
  <c r="E37" i="223"/>
  <c r="F37" i="223"/>
  <c r="D26" i="223"/>
  <c r="E26" i="223"/>
  <c r="F26" i="223"/>
  <c r="D15" i="223"/>
  <c r="E15" i="223"/>
  <c r="F15" i="223"/>
  <c r="H43" i="223"/>
  <c r="H42" i="223"/>
  <c r="F378" i="229" l="1"/>
  <c r="E378" i="229"/>
  <c r="H368" i="229"/>
  <c r="G10" i="252" l="1"/>
  <c r="H10" i="252"/>
  <c r="G181" i="252" l="1"/>
  <c r="H181" i="252"/>
  <c r="D293" i="229" l="1"/>
  <c r="D266" i="229"/>
  <c r="C2" i="183"/>
  <c r="C1" i="183"/>
  <c r="D152" i="223"/>
  <c r="E152" i="223"/>
  <c r="F152" i="223"/>
  <c r="D125" i="223"/>
  <c r="E125" i="223"/>
  <c r="F125" i="223"/>
  <c r="D81" i="223"/>
  <c r="E81" i="223"/>
  <c r="D92" i="223"/>
  <c r="E92" i="223"/>
  <c r="F92" i="223"/>
  <c r="D103" i="223"/>
  <c r="E103" i="223"/>
  <c r="F103" i="223"/>
  <c r="F114" i="223"/>
  <c r="D114" i="223"/>
  <c r="C2" i="208" l="1"/>
  <c r="C1" i="208"/>
  <c r="C2" i="197"/>
  <c r="C1" i="197"/>
  <c r="C2" i="209"/>
  <c r="C1" i="209"/>
  <c r="D9" i="248" l="1"/>
  <c r="C2" i="248"/>
  <c r="C1" i="248"/>
  <c r="I23" i="247"/>
  <c r="F13" i="248" s="1"/>
  <c r="H23" i="247"/>
  <c r="F12" i="248" s="1"/>
  <c r="F23" i="247"/>
  <c r="D13" i="248" s="1"/>
  <c r="E23" i="247"/>
  <c r="C13" i="248" s="1"/>
  <c r="C23" i="247"/>
  <c r="D12" i="248" s="1"/>
  <c r="B23" i="247"/>
  <c r="C2" i="247"/>
  <c r="C1" i="247"/>
  <c r="W22" i="246"/>
  <c r="V22" i="246"/>
  <c r="U22" i="246"/>
  <c r="F9" i="248" s="1"/>
  <c r="T22" i="246"/>
  <c r="S22" i="246"/>
  <c r="R22" i="246"/>
  <c r="Q22" i="246"/>
  <c r="P22" i="246"/>
  <c r="O22" i="246"/>
  <c r="N22" i="246"/>
  <c r="M22" i="246"/>
  <c r="L22" i="246"/>
  <c r="K22" i="246"/>
  <c r="J22" i="246"/>
  <c r="I22" i="246"/>
  <c r="H22" i="246"/>
  <c r="G22" i="246"/>
  <c r="F22" i="246"/>
  <c r="E22" i="246"/>
  <c r="C9" i="248" s="1"/>
  <c r="K9" i="248" s="1"/>
  <c r="D22" i="246"/>
  <c r="C2" i="246"/>
  <c r="C1" i="246"/>
  <c r="R18" i="245"/>
  <c r="Q18" i="245"/>
  <c r="P18" i="245"/>
  <c r="N18" i="245"/>
  <c r="M18" i="245"/>
  <c r="K18" i="245"/>
  <c r="J18" i="245"/>
  <c r="H18" i="245"/>
  <c r="G18" i="245"/>
  <c r="F18" i="245"/>
  <c r="E18" i="245"/>
  <c r="O17" i="245"/>
  <c r="L17" i="245"/>
  <c r="I17" i="245"/>
  <c r="O16" i="245"/>
  <c r="L16" i="245"/>
  <c r="I16" i="245"/>
  <c r="O15" i="245"/>
  <c r="L15" i="245"/>
  <c r="I15" i="245"/>
  <c r="O14" i="245"/>
  <c r="L14" i="245"/>
  <c r="I14" i="245"/>
  <c r="O13" i="245"/>
  <c r="L13" i="245"/>
  <c r="I13" i="245"/>
  <c r="O12" i="245"/>
  <c r="L12" i="245"/>
  <c r="I12" i="245"/>
  <c r="O11" i="245"/>
  <c r="L11" i="245"/>
  <c r="I11" i="245"/>
  <c r="O10" i="245"/>
  <c r="L10" i="245"/>
  <c r="I10" i="245"/>
  <c r="O9" i="245"/>
  <c r="L9" i="245"/>
  <c r="I9" i="245"/>
  <c r="O8" i="245"/>
  <c r="L8" i="245"/>
  <c r="I8" i="245"/>
  <c r="C2" i="245"/>
  <c r="C1" i="245"/>
  <c r="AF25" i="244"/>
  <c r="AE25" i="244"/>
  <c r="AD25" i="244"/>
  <c r="AB25" i="244"/>
  <c r="AA25" i="244"/>
  <c r="Z25" i="244"/>
  <c r="W25" i="244"/>
  <c r="V25" i="244"/>
  <c r="U25" i="244"/>
  <c r="T25" i="244"/>
  <c r="S25" i="244"/>
  <c r="R25" i="244"/>
  <c r="O25" i="244"/>
  <c r="N25" i="244"/>
  <c r="M25" i="244"/>
  <c r="L25" i="244"/>
  <c r="K25" i="244"/>
  <c r="J25" i="244"/>
  <c r="I25" i="244"/>
  <c r="G25" i="244"/>
  <c r="F25" i="244"/>
  <c r="E25" i="244"/>
  <c r="C25" i="244"/>
  <c r="B25" i="244"/>
  <c r="O18" i="245" l="1"/>
  <c r="F10" i="248"/>
  <c r="E13" i="248"/>
  <c r="F8" i="248"/>
  <c r="AC25" i="244"/>
  <c r="C11" i="248"/>
  <c r="K11" i="248" s="1"/>
  <c r="F11" i="248"/>
  <c r="C8" i="248"/>
  <c r="G8" i="248" s="1"/>
  <c r="I18" i="245"/>
  <c r="D23" i="247"/>
  <c r="L18" i="245"/>
  <c r="H25" i="244"/>
  <c r="D25" i="244" s="1"/>
  <c r="G23" i="247"/>
  <c r="P25" i="244"/>
  <c r="Q25" i="244" s="1"/>
  <c r="X25" i="244"/>
  <c r="D10" i="248" s="1"/>
  <c r="D8" i="248"/>
  <c r="D11" i="248"/>
  <c r="E11" i="248" s="1"/>
  <c r="E9" i="248"/>
  <c r="G9" i="248"/>
  <c r="G13" i="248"/>
  <c r="K13" i="248"/>
  <c r="C10" i="248"/>
  <c r="C12" i="248"/>
  <c r="K8" i="248" l="1"/>
  <c r="G11" i="248"/>
  <c r="F14" i="248"/>
  <c r="D14" i="248"/>
  <c r="Y25" i="244"/>
  <c r="K12" i="248"/>
  <c r="G12" i="248"/>
  <c r="E12" i="248"/>
  <c r="K10" i="248"/>
  <c r="G10" i="248"/>
  <c r="E10" i="248"/>
  <c r="C14" i="248"/>
  <c r="K14" i="248" s="1"/>
  <c r="E8" i="248"/>
  <c r="H377" i="229"/>
  <c r="G293" i="229"/>
  <c r="G367" i="229"/>
  <c r="H367" i="229"/>
  <c r="G20" i="229"/>
  <c r="H36" i="229"/>
  <c r="G23" i="229"/>
  <c r="H23" i="229"/>
  <c r="G24" i="229"/>
  <c r="H24" i="229"/>
  <c r="G25" i="229"/>
  <c r="H25" i="229"/>
  <c r="G26" i="229"/>
  <c r="H26" i="229"/>
  <c r="G27" i="229"/>
  <c r="H27" i="229"/>
  <c r="G28" i="229"/>
  <c r="H28" i="229"/>
  <c r="G29" i="229"/>
  <c r="H29" i="229"/>
  <c r="G30" i="229"/>
  <c r="H30" i="229"/>
  <c r="G31" i="229"/>
  <c r="H31" i="229"/>
  <c r="G32" i="229"/>
  <c r="H32" i="229"/>
  <c r="G33" i="229"/>
  <c r="H33" i="229"/>
  <c r="G34" i="229"/>
  <c r="H34" i="229"/>
  <c r="G35" i="229"/>
  <c r="H35" i="229"/>
  <c r="G37" i="229"/>
  <c r="H37" i="229"/>
  <c r="G38" i="229"/>
  <c r="H38" i="229"/>
  <c r="G39" i="229"/>
  <c r="H39" i="229"/>
  <c r="G40" i="229"/>
  <c r="H40" i="229"/>
  <c r="G41" i="229"/>
  <c r="H41" i="229"/>
  <c r="G42" i="229"/>
  <c r="H42" i="229"/>
  <c r="G43" i="229"/>
  <c r="H43" i="229"/>
  <c r="G44" i="229"/>
  <c r="H44" i="229"/>
  <c r="G45" i="229"/>
  <c r="H45" i="229"/>
  <c r="G46" i="229"/>
  <c r="H46" i="229"/>
  <c r="G47" i="229"/>
  <c r="H47" i="229"/>
  <c r="G48" i="229"/>
  <c r="H48" i="229"/>
  <c r="G49" i="229"/>
  <c r="H49" i="229"/>
  <c r="G50" i="229"/>
  <c r="H50" i="229"/>
  <c r="G51" i="229"/>
  <c r="H51" i="229"/>
  <c r="G52" i="229"/>
  <c r="H52" i="229"/>
  <c r="G53" i="229"/>
  <c r="H53" i="229"/>
  <c r="G55" i="229"/>
  <c r="H55" i="229"/>
  <c r="G56" i="229"/>
  <c r="H56" i="229"/>
  <c r="G57" i="229"/>
  <c r="H57" i="229"/>
  <c r="G58" i="229"/>
  <c r="H58" i="229"/>
  <c r="G59" i="229"/>
  <c r="H59" i="229"/>
  <c r="G60" i="229"/>
  <c r="H60" i="229"/>
  <c r="G61" i="229"/>
  <c r="H61" i="229"/>
  <c r="G62" i="229"/>
  <c r="H62" i="229"/>
  <c r="G65" i="229"/>
  <c r="H65" i="229"/>
  <c r="G66" i="229"/>
  <c r="H66" i="229"/>
  <c r="G67" i="229"/>
  <c r="H67" i="229"/>
  <c r="G68" i="229"/>
  <c r="H68" i="229"/>
  <c r="G69" i="229"/>
  <c r="H69" i="229"/>
  <c r="G70" i="229"/>
  <c r="H70" i="229"/>
  <c r="G71" i="229"/>
  <c r="H71" i="229"/>
  <c r="G72" i="229"/>
  <c r="H72" i="229"/>
  <c r="G73" i="229"/>
  <c r="H73" i="229"/>
  <c r="G74" i="229"/>
  <c r="H74" i="229"/>
  <c r="G75" i="229"/>
  <c r="H75" i="229"/>
  <c r="G76" i="229"/>
  <c r="H76" i="229"/>
  <c r="G77" i="229"/>
  <c r="H77" i="229"/>
  <c r="G78" i="229"/>
  <c r="H78" i="229"/>
  <c r="G79" i="229"/>
  <c r="H79" i="229"/>
  <c r="G80" i="229"/>
  <c r="H80" i="229"/>
  <c r="G81" i="229"/>
  <c r="H81" i="229"/>
  <c r="G82" i="229"/>
  <c r="H82" i="229"/>
  <c r="G83" i="229"/>
  <c r="H83" i="229"/>
  <c r="G84" i="229"/>
  <c r="H84" i="229"/>
  <c r="G85" i="229"/>
  <c r="H85" i="229"/>
  <c r="G88" i="229"/>
  <c r="H88" i="229"/>
  <c r="G89" i="229"/>
  <c r="H89" i="229"/>
  <c r="G90" i="229"/>
  <c r="H90" i="229"/>
  <c r="G91" i="229"/>
  <c r="H91" i="229"/>
  <c r="G92" i="229"/>
  <c r="H92" i="229"/>
  <c r="G93" i="229"/>
  <c r="H93" i="229"/>
  <c r="G94" i="229"/>
  <c r="H94" i="229"/>
  <c r="G95" i="229"/>
  <c r="H95" i="229"/>
  <c r="G96" i="229"/>
  <c r="H96" i="229"/>
  <c r="G97" i="229"/>
  <c r="H97" i="229"/>
  <c r="G98" i="229"/>
  <c r="H98" i="229"/>
  <c r="G99" i="229"/>
  <c r="H99" i="229"/>
  <c r="G100" i="229"/>
  <c r="H100" i="229"/>
  <c r="G101" i="229"/>
  <c r="H101" i="229"/>
  <c r="G102" i="229"/>
  <c r="H102" i="229"/>
  <c r="G103" i="229"/>
  <c r="H103" i="229"/>
  <c r="G104" i="229"/>
  <c r="H104" i="229"/>
  <c r="G105" i="229"/>
  <c r="H105" i="229"/>
  <c r="G106" i="229"/>
  <c r="H106" i="229"/>
  <c r="G107" i="229"/>
  <c r="H107" i="229"/>
  <c r="G108" i="229"/>
  <c r="H108" i="229"/>
  <c r="G109" i="229"/>
  <c r="H109" i="229"/>
  <c r="G110" i="229"/>
  <c r="H110" i="229"/>
  <c r="G111" i="229"/>
  <c r="H111" i="229"/>
  <c r="G112" i="229"/>
  <c r="H112" i="229"/>
  <c r="G115" i="229"/>
  <c r="H115" i="229"/>
  <c r="G116" i="229"/>
  <c r="H116" i="229"/>
  <c r="G117" i="229"/>
  <c r="H117" i="229"/>
  <c r="G118" i="229"/>
  <c r="H118" i="229"/>
  <c r="G119" i="229"/>
  <c r="H119" i="229"/>
  <c r="G120" i="229"/>
  <c r="H120" i="229"/>
  <c r="G121" i="229"/>
  <c r="H121" i="229"/>
  <c r="G122" i="229"/>
  <c r="H122" i="229"/>
  <c r="G123" i="229"/>
  <c r="H123" i="229"/>
  <c r="G124" i="229"/>
  <c r="H124" i="229"/>
  <c r="G125" i="229"/>
  <c r="H125" i="229"/>
  <c r="G126" i="229"/>
  <c r="H126" i="229"/>
  <c r="G127" i="229"/>
  <c r="H127" i="229"/>
  <c r="G128" i="229"/>
  <c r="H128" i="229"/>
  <c r="G129" i="229"/>
  <c r="H129" i="229"/>
  <c r="G130" i="229"/>
  <c r="H130" i="229"/>
  <c r="G131" i="229"/>
  <c r="H131" i="229"/>
  <c r="G132" i="229"/>
  <c r="H132" i="229"/>
  <c r="G133" i="229"/>
  <c r="H133" i="229"/>
  <c r="G136" i="229"/>
  <c r="H136" i="229"/>
  <c r="G137" i="229"/>
  <c r="H137" i="229"/>
  <c r="G138" i="229"/>
  <c r="H138" i="229"/>
  <c r="G139" i="229"/>
  <c r="H139" i="229"/>
  <c r="G140" i="229"/>
  <c r="H140" i="229"/>
  <c r="G141" i="229"/>
  <c r="H141" i="229"/>
  <c r="G142" i="229"/>
  <c r="H142" i="229"/>
  <c r="G143" i="229"/>
  <c r="H143" i="229"/>
  <c r="G144" i="229"/>
  <c r="H144" i="229"/>
  <c r="G149" i="229"/>
  <c r="H149" i="229"/>
  <c r="G150" i="229"/>
  <c r="H150" i="229"/>
  <c r="G151" i="229"/>
  <c r="H151" i="229"/>
  <c r="G152" i="229"/>
  <c r="H152" i="229"/>
  <c r="G153" i="229"/>
  <c r="H153" i="229"/>
  <c r="G154" i="229"/>
  <c r="H154" i="229"/>
  <c r="G155" i="229"/>
  <c r="H155" i="229"/>
  <c r="G156" i="229"/>
  <c r="H156" i="229"/>
  <c r="G157" i="229"/>
  <c r="H157" i="229"/>
  <c r="G158" i="229"/>
  <c r="H158" i="229"/>
  <c r="G159" i="229"/>
  <c r="H159" i="229"/>
  <c r="G160" i="229"/>
  <c r="H160" i="229"/>
  <c r="G161" i="229"/>
  <c r="H161" i="229"/>
  <c r="G162" i="229"/>
  <c r="H162" i="229"/>
  <c r="G163" i="229"/>
  <c r="H163" i="229"/>
  <c r="G164" i="229"/>
  <c r="H164" i="229"/>
  <c r="G165" i="229"/>
  <c r="H165" i="229"/>
  <c r="G166" i="229"/>
  <c r="H166" i="229"/>
  <c r="G167" i="229"/>
  <c r="H167" i="229"/>
  <c r="G168" i="229"/>
  <c r="H168" i="229"/>
  <c r="G169" i="229"/>
  <c r="H169" i="229"/>
  <c r="G170" i="229"/>
  <c r="H170" i="229"/>
  <c r="G173" i="229"/>
  <c r="H173" i="229"/>
  <c r="G174" i="229"/>
  <c r="H174" i="229"/>
  <c r="G175" i="229"/>
  <c r="H175" i="229"/>
  <c r="G176" i="229"/>
  <c r="H176" i="229"/>
  <c r="G177" i="229"/>
  <c r="H177" i="229"/>
  <c r="G178" i="229"/>
  <c r="H178" i="229"/>
  <c r="G179" i="229"/>
  <c r="H179" i="229"/>
  <c r="G180" i="229"/>
  <c r="H180" i="229"/>
  <c r="G181" i="229"/>
  <c r="H181" i="229"/>
  <c r="G182" i="229"/>
  <c r="H182" i="229"/>
  <c r="G183" i="229"/>
  <c r="H183" i="229"/>
  <c r="G184" i="229"/>
  <c r="H184" i="229"/>
  <c r="G185" i="229"/>
  <c r="H185" i="229"/>
  <c r="G186" i="229"/>
  <c r="H186" i="229"/>
  <c r="G187" i="229"/>
  <c r="H187" i="229"/>
  <c r="G188" i="229"/>
  <c r="H188" i="229"/>
  <c r="G189" i="229"/>
  <c r="H189" i="229"/>
  <c r="G190" i="229"/>
  <c r="H190" i="229"/>
  <c r="G191" i="229"/>
  <c r="H191" i="229"/>
  <c r="G192" i="229"/>
  <c r="H192" i="229"/>
  <c r="G193" i="229"/>
  <c r="H193" i="229"/>
  <c r="G194" i="229"/>
  <c r="H194" i="229"/>
  <c r="G195" i="229"/>
  <c r="H195" i="229"/>
  <c r="G196" i="229"/>
  <c r="H196" i="229"/>
  <c r="G197" i="229"/>
  <c r="H197" i="229"/>
  <c r="G198" i="229"/>
  <c r="H198" i="229"/>
  <c r="G199" i="229"/>
  <c r="H199" i="229"/>
  <c r="G200" i="229"/>
  <c r="H200" i="229"/>
  <c r="G201" i="229"/>
  <c r="H201" i="229"/>
  <c r="G202" i="229"/>
  <c r="H202" i="229"/>
  <c r="G203" i="229"/>
  <c r="H203" i="229"/>
  <c r="G204" i="229"/>
  <c r="H204" i="229"/>
  <c r="G205" i="229"/>
  <c r="H205" i="229"/>
  <c r="G206" i="229"/>
  <c r="H206" i="229"/>
  <c r="G207" i="229"/>
  <c r="H207" i="229"/>
  <c r="G208" i="229"/>
  <c r="H208" i="229"/>
  <c r="G209" i="229"/>
  <c r="H209" i="229"/>
  <c r="G210" i="229"/>
  <c r="H210" i="229"/>
  <c r="G211" i="229"/>
  <c r="H211" i="229"/>
  <c r="G212" i="229"/>
  <c r="H212" i="229"/>
  <c r="G213" i="229"/>
  <c r="H213" i="229"/>
  <c r="G214" i="229"/>
  <c r="H214" i="229"/>
  <c r="G215" i="229"/>
  <c r="H215" i="229"/>
  <c r="G216" i="229"/>
  <c r="H216" i="229"/>
  <c r="G217" i="229"/>
  <c r="H217" i="229"/>
  <c r="G218" i="229"/>
  <c r="H218" i="229"/>
  <c r="G219" i="229"/>
  <c r="H219" i="229"/>
  <c r="G220" i="229"/>
  <c r="H220" i="229"/>
  <c r="G221" i="229"/>
  <c r="H221" i="229"/>
  <c r="G222" i="229"/>
  <c r="H222" i="229"/>
  <c r="G223" i="229"/>
  <c r="H223" i="229"/>
  <c r="G224" i="229"/>
  <c r="H224" i="229"/>
  <c r="G225" i="229"/>
  <c r="H225" i="229"/>
  <c r="G226" i="229"/>
  <c r="H226" i="229"/>
  <c r="G227" i="229"/>
  <c r="H227" i="229"/>
  <c r="G230" i="229"/>
  <c r="H230" i="229"/>
  <c r="G231" i="229"/>
  <c r="H231" i="229"/>
  <c r="G232" i="229"/>
  <c r="H232" i="229"/>
  <c r="G233" i="229"/>
  <c r="H233" i="229"/>
  <c r="G234" i="229"/>
  <c r="H234" i="229"/>
  <c r="G235" i="229"/>
  <c r="H235" i="229"/>
  <c r="G236" i="229"/>
  <c r="H236" i="229"/>
  <c r="G237" i="229"/>
  <c r="H237" i="229"/>
  <c r="G238" i="229"/>
  <c r="H238" i="229"/>
  <c r="G239" i="229"/>
  <c r="H239" i="229"/>
  <c r="G241" i="229"/>
  <c r="H241" i="229"/>
  <c r="G242" i="229"/>
  <c r="H242" i="229"/>
  <c r="G243" i="229"/>
  <c r="H243" i="229"/>
  <c r="G244" i="229"/>
  <c r="H244" i="229"/>
  <c r="G252" i="229"/>
  <c r="H252" i="229"/>
  <c r="G253" i="229"/>
  <c r="H253" i="229"/>
  <c r="G254" i="229"/>
  <c r="H254" i="229"/>
  <c r="G255" i="229"/>
  <c r="H255" i="229"/>
  <c r="G256" i="229"/>
  <c r="H256" i="229"/>
  <c r="G257" i="229"/>
  <c r="H257" i="229"/>
  <c r="G258" i="229"/>
  <c r="H258" i="229"/>
  <c r="G259" i="229"/>
  <c r="H259" i="229"/>
  <c r="G261" i="229"/>
  <c r="H261" i="229"/>
  <c r="G262" i="229"/>
  <c r="H262" i="229"/>
  <c r="G263" i="229"/>
  <c r="H263" i="229"/>
  <c r="G264" i="229"/>
  <c r="H264" i="229"/>
  <c r="G265" i="229"/>
  <c r="H265" i="229"/>
  <c r="G268" i="229"/>
  <c r="H268" i="229"/>
  <c r="G269" i="229"/>
  <c r="H269" i="229"/>
  <c r="G270" i="229"/>
  <c r="H270" i="229"/>
  <c r="G271" i="229"/>
  <c r="H271" i="229"/>
  <c r="G272" i="229"/>
  <c r="H272" i="229"/>
  <c r="G273" i="229"/>
  <c r="H273" i="229"/>
  <c r="G274" i="229"/>
  <c r="H274" i="229"/>
  <c r="G275" i="229"/>
  <c r="H275" i="229"/>
  <c r="G276" i="229"/>
  <c r="H276" i="229"/>
  <c r="G277" i="229"/>
  <c r="H277" i="229"/>
  <c r="G278" i="229"/>
  <c r="H278" i="229"/>
  <c r="G279" i="229"/>
  <c r="H279" i="229"/>
  <c r="G280" i="229"/>
  <c r="H280" i="229"/>
  <c r="G281" i="229"/>
  <c r="H281" i="229"/>
  <c r="G282" i="229"/>
  <c r="H282" i="229"/>
  <c r="G283" i="229"/>
  <c r="H283" i="229"/>
  <c r="G284" i="229"/>
  <c r="H284" i="229"/>
  <c r="G285" i="229"/>
  <c r="H285" i="229"/>
  <c r="G286" i="229"/>
  <c r="H286" i="229"/>
  <c r="G287" i="229"/>
  <c r="H287" i="229"/>
  <c r="G288" i="229"/>
  <c r="H288" i="229"/>
  <c r="G289" i="229"/>
  <c r="H289" i="229"/>
  <c r="G290" i="229"/>
  <c r="H290" i="229"/>
  <c r="G291" i="229"/>
  <c r="H291" i="229"/>
  <c r="G295" i="229"/>
  <c r="G296" i="229"/>
  <c r="G297" i="229"/>
  <c r="G298" i="229"/>
  <c r="G299" i="229"/>
  <c r="G300" i="229"/>
  <c r="G301" i="229"/>
  <c r="G302" i="229"/>
  <c r="G303" i="229"/>
  <c r="G304" i="229"/>
  <c r="G309" i="229"/>
  <c r="H309" i="229"/>
  <c r="G310" i="229"/>
  <c r="H310" i="229"/>
  <c r="G311" i="229"/>
  <c r="H311" i="229"/>
  <c r="G312" i="229"/>
  <c r="H312" i="229"/>
  <c r="G313" i="229"/>
  <c r="H313" i="229"/>
  <c r="G314" i="229"/>
  <c r="H314" i="229"/>
  <c r="G315" i="229"/>
  <c r="H315" i="229"/>
  <c r="G316" i="229"/>
  <c r="H316" i="229"/>
  <c r="G317" i="229"/>
  <c r="H317" i="229"/>
  <c r="G318" i="229"/>
  <c r="H318" i="229"/>
  <c r="G319" i="229"/>
  <c r="H319" i="229"/>
  <c r="G320" i="229"/>
  <c r="H320" i="229"/>
  <c r="G321" i="229"/>
  <c r="H321" i="229"/>
  <c r="G322" i="229"/>
  <c r="H322" i="229"/>
  <c r="G323" i="229"/>
  <c r="H323" i="229"/>
  <c r="G324" i="229"/>
  <c r="H324" i="229"/>
  <c r="G325" i="229"/>
  <c r="H325" i="229"/>
  <c r="G326" i="229"/>
  <c r="H326" i="229"/>
  <c r="G327" i="229"/>
  <c r="H327" i="229"/>
  <c r="G328" i="229"/>
  <c r="H328" i="229"/>
  <c r="G329" i="229"/>
  <c r="H329" i="229"/>
  <c r="G330" i="229"/>
  <c r="H330" i="229"/>
  <c r="G334" i="229"/>
  <c r="H334" i="229"/>
  <c r="G335" i="229"/>
  <c r="H335" i="229"/>
  <c r="G336" i="229"/>
  <c r="H336" i="229"/>
  <c r="G337" i="229"/>
  <c r="H337" i="229"/>
  <c r="G338" i="229"/>
  <c r="G339" i="229"/>
  <c r="H339" i="229"/>
  <c r="G345" i="229"/>
  <c r="H345" i="229"/>
  <c r="G346" i="229"/>
  <c r="H346" i="229"/>
  <c r="G347" i="229"/>
  <c r="H347" i="229"/>
  <c r="G348" i="229"/>
  <c r="H348" i="229"/>
  <c r="G349" i="229"/>
  <c r="H349" i="229"/>
  <c r="G350" i="229"/>
  <c r="H350" i="229"/>
  <c r="G351" i="229"/>
  <c r="H351" i="229"/>
  <c r="G352" i="229"/>
  <c r="H352" i="229"/>
  <c r="G353" i="229"/>
  <c r="H353" i="229"/>
  <c r="G354" i="229"/>
  <c r="H354" i="229"/>
  <c r="G355" i="229"/>
  <c r="H355" i="229"/>
  <c r="G356" i="229"/>
  <c r="H356" i="229"/>
  <c r="G357" i="229"/>
  <c r="H357" i="229"/>
  <c r="G358" i="229"/>
  <c r="H358" i="229"/>
  <c r="G359" i="229"/>
  <c r="H359" i="229"/>
  <c r="G360" i="229"/>
  <c r="H360" i="229"/>
  <c r="G361" i="229"/>
  <c r="H361" i="229"/>
  <c r="G362" i="229"/>
  <c r="H362" i="229"/>
  <c r="G363" i="229"/>
  <c r="H363" i="229"/>
  <c r="G364" i="229"/>
  <c r="H364" i="229"/>
  <c r="G365" i="229"/>
  <c r="H365" i="229"/>
  <c r="G366" i="229"/>
  <c r="H366" i="229"/>
  <c r="G371" i="229"/>
  <c r="H371" i="229"/>
  <c r="G372" i="229"/>
  <c r="H372" i="229"/>
  <c r="G373" i="229"/>
  <c r="H373" i="229"/>
  <c r="G374" i="229"/>
  <c r="H374" i="229"/>
  <c r="G375" i="229"/>
  <c r="H375" i="229"/>
  <c r="G376" i="229"/>
  <c r="H376" i="229"/>
  <c r="G377" i="229"/>
  <c r="G22" i="229"/>
  <c r="G13" i="229"/>
  <c r="H13" i="229"/>
  <c r="G14" i="229"/>
  <c r="H14" i="229"/>
  <c r="G15" i="229"/>
  <c r="H15" i="229"/>
  <c r="G16" i="229"/>
  <c r="H16" i="229"/>
  <c r="G17" i="229"/>
  <c r="H17" i="229"/>
  <c r="G18" i="229"/>
  <c r="H18" i="229"/>
  <c r="G19" i="229"/>
  <c r="H19" i="229"/>
  <c r="G12" i="229"/>
  <c r="F157" i="223"/>
  <c r="C59" i="223"/>
  <c r="C70" i="223"/>
  <c r="C81" i="223"/>
  <c r="H189" i="242"/>
  <c r="G189" i="242"/>
  <c r="H188" i="242"/>
  <c r="G188" i="242"/>
  <c r="H179" i="242"/>
  <c r="G179" i="242"/>
  <c r="G178" i="242"/>
  <c r="H177" i="242"/>
  <c r="G177" i="242"/>
  <c r="G176" i="242"/>
  <c r="H175" i="242"/>
  <c r="G175" i="242"/>
  <c r="H174" i="242"/>
  <c r="G174" i="242"/>
  <c r="H173" i="242"/>
  <c r="G173" i="242"/>
  <c r="H172" i="242"/>
  <c r="G172" i="242"/>
  <c r="H171" i="242"/>
  <c r="G171" i="242"/>
  <c r="H170" i="242"/>
  <c r="G170" i="242"/>
  <c r="H169" i="242"/>
  <c r="G169" i="242"/>
  <c r="H168" i="242"/>
  <c r="G168" i="242"/>
  <c r="H167" i="242"/>
  <c r="G167" i="242"/>
  <c r="H166" i="242"/>
  <c r="G166" i="242"/>
  <c r="H165" i="242"/>
  <c r="G165" i="242"/>
  <c r="H164" i="242"/>
  <c r="G164" i="242"/>
  <c r="H163" i="242"/>
  <c r="G163" i="242"/>
  <c r="H162" i="242"/>
  <c r="G162" i="242"/>
  <c r="H161" i="242"/>
  <c r="G161" i="242"/>
  <c r="H160" i="242"/>
  <c r="G160" i="242"/>
  <c r="H159" i="242"/>
  <c r="G159" i="242"/>
  <c r="H158" i="242"/>
  <c r="G158" i="242"/>
  <c r="H157" i="242"/>
  <c r="G157" i="242"/>
  <c r="H156" i="242"/>
  <c r="G156" i="242"/>
  <c r="H155" i="242"/>
  <c r="G155" i="242"/>
  <c r="H154" i="242"/>
  <c r="G154" i="242"/>
  <c r="H153" i="242"/>
  <c r="G153" i="242"/>
  <c r="H152" i="242"/>
  <c r="G152" i="242"/>
  <c r="H151" i="242"/>
  <c r="G151" i="242"/>
  <c r="H150" i="242"/>
  <c r="G150" i="242"/>
  <c r="H149" i="242"/>
  <c r="G149" i="242"/>
  <c r="H148" i="242"/>
  <c r="G148" i="242"/>
  <c r="H147" i="242"/>
  <c r="G147" i="242"/>
  <c r="H146" i="242"/>
  <c r="G146" i="242"/>
  <c r="H145" i="242"/>
  <c r="G145" i="242"/>
  <c r="H144" i="242"/>
  <c r="G144" i="242"/>
  <c r="H143" i="242"/>
  <c r="G143" i="242"/>
  <c r="H142" i="242"/>
  <c r="G142" i="242"/>
  <c r="H141" i="242"/>
  <c r="G141" i="242"/>
  <c r="H140" i="242"/>
  <c r="G140" i="242"/>
  <c r="H139" i="242"/>
  <c r="G139" i="242"/>
  <c r="H138" i="242"/>
  <c r="G138" i="242"/>
  <c r="H137" i="242"/>
  <c r="G137" i="242"/>
  <c r="H136" i="242"/>
  <c r="G136" i="242"/>
  <c r="H135" i="242"/>
  <c r="G135" i="242"/>
  <c r="H134" i="242"/>
  <c r="G134" i="242"/>
  <c r="H133" i="242"/>
  <c r="G133" i="242"/>
  <c r="H132" i="242"/>
  <c r="G132" i="242"/>
  <c r="H131" i="242"/>
  <c r="G131" i="242"/>
  <c r="H130" i="242"/>
  <c r="G130" i="242"/>
  <c r="H129" i="242"/>
  <c r="G129" i="242"/>
  <c r="H128" i="242"/>
  <c r="G128" i="242"/>
  <c r="H127" i="242"/>
  <c r="G127" i="242"/>
  <c r="H126" i="242"/>
  <c r="G126" i="242"/>
  <c r="H125" i="242"/>
  <c r="G125" i="242"/>
  <c r="H124" i="242"/>
  <c r="G124" i="242"/>
  <c r="G123" i="242"/>
  <c r="H122" i="242"/>
  <c r="G122" i="242"/>
  <c r="H121" i="242"/>
  <c r="G121" i="242"/>
  <c r="H9" i="242"/>
  <c r="G9" i="242"/>
  <c r="H8" i="242"/>
  <c r="G8" i="242"/>
  <c r="E14" i="248" l="1"/>
  <c r="H123" i="242"/>
  <c r="G14" i="248"/>
  <c r="H20" i="229"/>
  <c r="G10" i="242"/>
  <c r="H10" i="242"/>
  <c r="D157" i="223" l="1"/>
  <c r="E157" i="223"/>
  <c r="F45" i="159" l="1"/>
  <c r="F44" i="159"/>
  <c r="F43" i="159"/>
  <c r="F42" i="159"/>
  <c r="F41" i="159"/>
  <c r="F40" i="159"/>
  <c r="F39" i="159"/>
  <c r="F38" i="159"/>
  <c r="F37" i="159"/>
  <c r="F36" i="159"/>
  <c r="F35" i="159"/>
  <c r="F34" i="159"/>
  <c r="F33" i="159"/>
  <c r="F32" i="159"/>
  <c r="F31" i="159"/>
  <c r="F30" i="159"/>
  <c r="F29" i="159"/>
  <c r="F28" i="159"/>
  <c r="F27" i="159"/>
  <c r="F26" i="159"/>
  <c r="F25" i="159"/>
  <c r="F24" i="159"/>
  <c r="F23" i="159"/>
  <c r="F22" i="159"/>
  <c r="F21" i="159"/>
  <c r="F20" i="159"/>
  <c r="F19" i="159"/>
  <c r="F17" i="159"/>
  <c r="F16" i="159"/>
  <c r="F15" i="159"/>
  <c r="F14" i="159"/>
  <c r="F13" i="159"/>
  <c r="F12" i="159"/>
  <c r="F11" i="159"/>
  <c r="F10" i="159"/>
  <c r="D18" i="208" l="1"/>
  <c r="E18" i="208"/>
  <c r="F18" i="208"/>
  <c r="G18" i="208"/>
  <c r="C18" i="208"/>
  <c r="D33" i="209"/>
  <c r="E33" i="209"/>
  <c r="F33" i="209"/>
  <c r="G33" i="209"/>
  <c r="H33" i="209"/>
  <c r="D34" i="209"/>
  <c r="E34" i="209"/>
  <c r="F34" i="209"/>
  <c r="G34" i="209"/>
  <c r="H34" i="209"/>
  <c r="D35" i="209"/>
  <c r="E35" i="209"/>
  <c r="F35" i="209"/>
  <c r="G35" i="209"/>
  <c r="H35" i="209"/>
  <c r="E32" i="209"/>
  <c r="F32" i="209"/>
  <c r="G32" i="209"/>
  <c r="H32" i="209"/>
  <c r="D32" i="209"/>
  <c r="L23" i="209"/>
  <c r="K23" i="209"/>
  <c r="J23" i="209"/>
  <c r="I23" i="209"/>
  <c r="L22" i="209"/>
  <c r="K22" i="209"/>
  <c r="J22" i="209"/>
  <c r="I22" i="209"/>
  <c r="L21" i="209"/>
  <c r="K21" i="209"/>
  <c r="J21" i="209"/>
  <c r="I21" i="209"/>
  <c r="L20" i="209"/>
  <c r="K20" i="209"/>
  <c r="J20" i="209"/>
  <c r="I20" i="209"/>
  <c r="I24" i="209"/>
  <c r="J24" i="209"/>
  <c r="K24" i="209"/>
  <c r="I25" i="209"/>
  <c r="J25" i="209"/>
  <c r="K25" i="209"/>
  <c r="I26" i="209"/>
  <c r="J26" i="209"/>
  <c r="K26" i="209"/>
  <c r="I27" i="209"/>
  <c r="J27" i="209"/>
  <c r="K27" i="209"/>
  <c r="D378" i="229"/>
  <c r="D369" i="229"/>
  <c r="H369" i="229" s="1"/>
  <c r="G369" i="229"/>
  <c r="H340" i="229"/>
  <c r="G340" i="229"/>
  <c r="H332" i="229"/>
  <c r="D305" i="229"/>
  <c r="H305" i="229" s="1"/>
  <c r="G305" i="229"/>
  <c r="H293" i="229"/>
  <c r="H266" i="229"/>
  <c r="G266" i="229"/>
  <c r="H250" i="229"/>
  <c r="G250" i="229"/>
  <c r="H245" i="229"/>
  <c r="G245" i="229"/>
  <c r="H240" i="229"/>
  <c r="G240" i="229"/>
  <c r="H228" i="229"/>
  <c r="G228" i="229"/>
  <c r="H171" i="229"/>
  <c r="G171" i="229"/>
  <c r="H134" i="229"/>
  <c r="G134" i="229"/>
  <c r="H113" i="229"/>
  <c r="G113" i="229"/>
  <c r="H86" i="229"/>
  <c r="G86" i="229"/>
  <c r="H63" i="229"/>
  <c r="G63" i="229"/>
  <c r="H54" i="229"/>
  <c r="G54" i="229"/>
  <c r="G36" i="229"/>
  <c r="H22" i="229"/>
  <c r="H12" i="229"/>
  <c r="O14" i="213"/>
  <c r="P11" i="213"/>
  <c r="O11" i="213"/>
  <c r="M11" i="213"/>
  <c r="G332" i="229" l="1"/>
  <c r="H378" i="229"/>
  <c r="G378" i="229"/>
  <c r="G9" i="223"/>
  <c r="H9" i="223"/>
  <c r="G10" i="223"/>
  <c r="H10" i="223"/>
  <c r="G11" i="223"/>
  <c r="H11" i="223"/>
  <c r="G12" i="223"/>
  <c r="H12" i="223"/>
  <c r="C15" i="223"/>
  <c r="G20" i="223"/>
  <c r="H20" i="223"/>
  <c r="G21" i="223"/>
  <c r="H21" i="223"/>
  <c r="G22" i="223"/>
  <c r="H22" i="223"/>
  <c r="G23" i="223"/>
  <c r="H23" i="223"/>
  <c r="C26" i="223"/>
  <c r="G31" i="223"/>
  <c r="H31" i="223"/>
  <c r="G32" i="223"/>
  <c r="H32" i="223"/>
  <c r="G33" i="223"/>
  <c r="H33" i="223"/>
  <c r="G34" i="223"/>
  <c r="H34" i="223"/>
  <c r="C37" i="223"/>
  <c r="G42" i="223"/>
  <c r="G43" i="223"/>
  <c r="C48" i="223"/>
  <c r="G53" i="223"/>
  <c r="G54" i="223"/>
  <c r="G64" i="223"/>
  <c r="H64" i="223"/>
  <c r="G65" i="223"/>
  <c r="H65" i="223"/>
  <c r="E70" i="223"/>
  <c r="G70" i="223" s="1"/>
  <c r="F70" i="223"/>
  <c r="G75" i="223"/>
  <c r="H75" i="223"/>
  <c r="G76" i="223"/>
  <c r="H76" i="223"/>
  <c r="F81" i="223"/>
  <c r="H81" i="223" s="1"/>
  <c r="G86" i="223"/>
  <c r="H86" i="223"/>
  <c r="G87" i="223"/>
  <c r="H87" i="223"/>
  <c r="G88" i="223"/>
  <c r="H88" i="223"/>
  <c r="C92" i="223"/>
  <c r="G97" i="223"/>
  <c r="H97" i="223"/>
  <c r="G98" i="223"/>
  <c r="H98" i="223"/>
  <c r="G99" i="223"/>
  <c r="H99" i="223"/>
  <c r="C103" i="223"/>
  <c r="G103" i="223" s="1"/>
  <c r="G108" i="223"/>
  <c r="H108" i="223"/>
  <c r="G109" i="223"/>
  <c r="H109" i="223"/>
  <c r="G110" i="223"/>
  <c r="H110" i="223"/>
  <c r="C114" i="223"/>
  <c r="E114" i="223"/>
  <c r="G119" i="223"/>
  <c r="H119" i="223"/>
  <c r="G120" i="223"/>
  <c r="H120" i="223"/>
  <c r="C125" i="223"/>
  <c r="G125" i="223" s="1"/>
  <c r="G147" i="223"/>
  <c r="H147" i="223"/>
  <c r="G148" i="223"/>
  <c r="H148" i="223"/>
  <c r="G149" i="223"/>
  <c r="H149" i="223"/>
  <c r="G150" i="223"/>
  <c r="H150" i="223"/>
  <c r="C152" i="223"/>
  <c r="C157" i="223" s="1"/>
  <c r="H152" i="223"/>
  <c r="G130" i="223"/>
  <c r="H130" i="223"/>
  <c r="G131" i="223"/>
  <c r="H131" i="223"/>
  <c r="C136" i="223"/>
  <c r="E136" i="223"/>
  <c r="F136" i="223"/>
  <c r="G141" i="223"/>
  <c r="H141" i="223"/>
  <c r="G142" i="223"/>
  <c r="G136" i="223" l="1"/>
  <c r="C158" i="223"/>
  <c r="G26" i="223"/>
  <c r="G15" i="223"/>
  <c r="E158" i="223"/>
  <c r="F158" i="223"/>
  <c r="H157" i="223"/>
  <c r="H70" i="223"/>
  <c r="H48" i="223"/>
  <c r="H26" i="223"/>
  <c r="D158" i="223"/>
  <c r="G59" i="223"/>
  <c r="H136" i="223"/>
  <c r="H125" i="223"/>
  <c r="H103" i="223"/>
  <c r="G92" i="223"/>
  <c r="G81" i="223"/>
  <c r="G48" i="223"/>
  <c r="H37" i="223"/>
  <c r="G37" i="223"/>
  <c r="G152" i="223"/>
  <c r="G157" i="223" s="1"/>
  <c r="G114" i="223"/>
  <c r="H114" i="223"/>
  <c r="H92" i="223"/>
  <c r="H59" i="223"/>
  <c r="H15" i="223"/>
  <c r="H158" i="223" l="1"/>
  <c r="G158" i="223"/>
  <c r="H17" i="159"/>
  <c r="H16" i="159"/>
  <c r="H15" i="159"/>
  <c r="H14" i="159"/>
  <c r="H13" i="159"/>
  <c r="H12" i="159"/>
  <c r="H11" i="159"/>
  <c r="H10" i="159"/>
  <c r="H73" i="159"/>
  <c r="F73" i="159"/>
  <c r="H72" i="159"/>
  <c r="F72" i="159"/>
  <c r="H71" i="159"/>
  <c r="F71" i="159"/>
  <c r="H70" i="159"/>
  <c r="F70" i="159"/>
  <c r="H69" i="159"/>
  <c r="F69" i="159"/>
  <c r="H68" i="159"/>
  <c r="F68" i="159"/>
  <c r="H67" i="159"/>
  <c r="F67" i="159"/>
  <c r="H66" i="159"/>
  <c r="F66" i="159"/>
  <c r="H65" i="159"/>
  <c r="F65" i="159"/>
  <c r="H64" i="159"/>
  <c r="F64" i="159"/>
  <c r="H63" i="159"/>
  <c r="F63" i="159"/>
  <c r="H62" i="159"/>
  <c r="F62" i="159"/>
  <c r="H61" i="159"/>
  <c r="F61" i="159"/>
  <c r="H60" i="159"/>
  <c r="F60" i="159"/>
  <c r="H59" i="159"/>
  <c r="F59" i="159"/>
  <c r="H58" i="159"/>
  <c r="F58" i="159"/>
  <c r="H57" i="159"/>
  <c r="F57" i="159"/>
  <c r="H56" i="159"/>
  <c r="F56" i="159"/>
  <c r="H55" i="159"/>
  <c r="F55" i="159"/>
  <c r="H54" i="159"/>
  <c r="F54" i="159"/>
  <c r="H53" i="159"/>
  <c r="F53" i="159"/>
  <c r="H52" i="159"/>
  <c r="F52" i="159"/>
  <c r="H51" i="159"/>
  <c r="F51" i="159"/>
  <c r="H50" i="159"/>
  <c r="F50" i="159"/>
  <c r="H49" i="159"/>
  <c r="F49" i="159"/>
  <c r="H48" i="159"/>
  <c r="F48" i="159"/>
  <c r="H47" i="159"/>
  <c r="F47" i="159"/>
  <c r="P21" i="213" l="1"/>
  <c r="O21" i="213"/>
  <c r="N21" i="213"/>
  <c r="M21" i="213"/>
  <c r="L21" i="213"/>
  <c r="K21" i="213"/>
  <c r="J21" i="213"/>
  <c r="I21" i="213"/>
  <c r="H21" i="213"/>
  <c r="G21" i="213"/>
  <c r="F21" i="213"/>
  <c r="E21" i="213"/>
  <c r="D21" i="213"/>
  <c r="C21" i="213"/>
  <c r="D8" i="212" l="1"/>
  <c r="C8" i="212"/>
  <c r="C2" i="159" l="1"/>
  <c r="C2" i="211"/>
  <c r="C1" i="159"/>
  <c r="C1" i="211"/>
  <c r="L35" i="209"/>
  <c r="K35" i="209"/>
  <c r="J35" i="209"/>
  <c r="I35" i="209"/>
  <c r="L34" i="209"/>
  <c r="K34" i="209"/>
  <c r="J34" i="209"/>
  <c r="I34" i="209"/>
  <c r="L33" i="209"/>
  <c r="K33" i="209"/>
  <c r="J33" i="209"/>
  <c r="I33" i="209"/>
  <c r="L32" i="209"/>
  <c r="K32" i="209"/>
  <c r="J32" i="209"/>
  <c r="I32" i="209"/>
  <c r="L31" i="209"/>
  <c r="K31" i="209"/>
  <c r="J31" i="209"/>
  <c r="I31" i="209"/>
  <c r="L30" i="209"/>
  <c r="K30" i="209"/>
  <c r="J30" i="209"/>
  <c r="I30" i="209"/>
  <c r="L29" i="209"/>
  <c r="K29" i="209"/>
  <c r="J29" i="209"/>
  <c r="I29" i="209"/>
  <c r="L28" i="209"/>
  <c r="K28" i="209"/>
  <c r="J28" i="209"/>
  <c r="I28" i="209"/>
  <c r="L27" i="209"/>
  <c r="L26" i="209"/>
  <c r="L25" i="209"/>
  <c r="L24" i="209"/>
  <c r="L19" i="209"/>
  <c r="K19" i="209"/>
  <c r="J19" i="209"/>
  <c r="I19" i="209"/>
  <c r="L18" i="209"/>
  <c r="K18" i="209"/>
  <c r="J18" i="209"/>
  <c r="I18" i="209"/>
  <c r="L17" i="209"/>
  <c r="K17" i="209"/>
  <c r="J17" i="209"/>
  <c r="I17" i="209"/>
  <c r="L16" i="209"/>
  <c r="K16" i="209"/>
  <c r="J16" i="209"/>
  <c r="I16" i="209"/>
  <c r="L15" i="209"/>
  <c r="K15" i="209"/>
  <c r="L14" i="209"/>
  <c r="K14" i="209"/>
  <c r="L13" i="209"/>
  <c r="K13" i="209"/>
  <c r="L12" i="209"/>
  <c r="K12" i="209"/>
  <c r="L11" i="209"/>
  <c r="K11" i="209"/>
  <c r="J11" i="209"/>
  <c r="I11" i="209"/>
  <c r="L10" i="209"/>
  <c r="K10" i="209"/>
  <c r="J10" i="209"/>
  <c r="I10" i="209"/>
  <c r="L9" i="209"/>
  <c r="K9" i="209"/>
  <c r="J9" i="209"/>
  <c r="I9" i="209"/>
  <c r="L8" i="209"/>
  <c r="K8" i="209"/>
  <c r="J8" i="209"/>
  <c r="I8" i="209"/>
  <c r="H45" i="159"/>
  <c r="B8" i="183"/>
  <c r="H44" i="159"/>
  <c r="H43" i="159"/>
  <c r="H42" i="159"/>
  <c r="H41" i="159"/>
  <c r="H40" i="159"/>
  <c r="H39" i="159"/>
  <c r="H38" i="159"/>
  <c r="H37" i="159"/>
  <c r="H36" i="159"/>
  <c r="H35" i="159"/>
  <c r="H34" i="159"/>
  <c r="H32" i="159"/>
  <c r="H31" i="159"/>
  <c r="H30" i="159"/>
  <c r="H29" i="159"/>
  <c r="H28" i="159"/>
  <c r="H27" i="159"/>
  <c r="H26" i="159"/>
  <c r="H25" i="159"/>
  <c r="H24" i="159"/>
  <c r="H23" i="159"/>
  <c r="H22" i="159"/>
  <c r="H21" i="159"/>
  <c r="H20" i="159"/>
  <c r="H19" i="159"/>
</calcChain>
</file>

<file path=xl/sharedStrings.xml><?xml version="1.0" encoding="utf-8"?>
<sst xmlns="http://schemas.openxmlformats.org/spreadsheetml/2006/main" count="7764" uniqueCount="4211">
  <si>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</si>
  <si>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</si>
  <si>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</si>
  <si>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</si>
  <si>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</si>
  <si>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</si>
  <si>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</si>
  <si>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ПАЦИЈЕНАТА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</si>
  <si>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</si>
  <si>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</si>
  <si>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</si>
  <si>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</si>
  <si>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</si>
  <si>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</si>
  <si>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</si>
  <si>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</si>
  <si>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</si>
  <si>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</si>
  <si>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</si>
  <si>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</si>
  <si>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</si>
  <si>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</si>
  <si>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</si>
  <si>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</si>
  <si>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</si>
  <si>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</si>
  <si>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</si>
  <si>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</si>
  <si>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</si>
  <si>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</si>
  <si>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</si>
  <si>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</si>
  <si>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</si>
  <si>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</si>
  <si>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</si>
  <si>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</si>
  <si>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</si>
  <si>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</si>
  <si>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</si>
  <si>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</si>
  <si>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</si>
  <si>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</si>
  <si>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</si>
  <si>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</si>
  <si>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</si>
  <si>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</si>
  <si>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</si>
  <si>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</si>
  <si>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</si>
  <si>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</si>
  <si>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</si>
  <si>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</si>
  <si>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</si>
  <si>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</si>
  <si>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</si>
  <si>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</si>
  <si>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</si>
  <si>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</si>
  <si>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</si>
  <si>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</si>
  <si>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</si>
  <si>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</si>
  <si>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</si>
  <si>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</si>
  <si>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</si>
  <si>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</si>
  <si>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</si>
  <si>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</si>
  <si>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</si>
  <si>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</si>
  <si>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</si>
  <si>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</si>
  <si>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</si>
  <si>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</si>
  <si>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</si>
  <si>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</si>
  <si>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</si>
  <si>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</si>
  <si>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</si>
  <si>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</si>
  <si>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</si>
  <si>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ЛЕКОВИ ЗА ХЕМОФИЛИЈУ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</si>
  <si>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</si>
  <si>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</si>
  <si>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</si>
  <si>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</si>
  <si>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</si>
  <si>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</si>
  <si>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</si>
  <si>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</si>
  <si>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</si>
  <si>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</si>
  <si>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</si>
  <si>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</si>
  <si>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</si>
  <si>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</si>
  <si>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</si>
  <si>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</si>
  <si>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</si>
  <si>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</si>
  <si>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</si>
  <si>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</si>
  <si>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</si>
  <si>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</si>
  <si>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</si>
  <si>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</si>
  <si>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</si>
  <si>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</si>
  <si>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</si>
  <si>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</si>
  <si>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</si>
  <si>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</si>
  <si>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</si>
  <si>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</si>
  <si>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</si>
  <si>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</si>
  <si>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</si>
  <si>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</si>
  <si>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</si>
  <si>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</si>
  <si>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</si>
  <si>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</si>
  <si>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</si>
  <si>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</si>
  <si>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</si>
  <si>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</si>
  <si>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</si>
  <si>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</si>
  <si>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</si>
  <si>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</si>
  <si>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</si>
  <si>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</si>
  <si>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</si>
  <si>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</si>
  <si>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</si>
  <si>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</si>
  <si>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</si>
  <si>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</si>
  <si>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</si>
  <si>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</si>
  <si>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</si>
  <si>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</si>
  <si>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</si>
  <si>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</si>
  <si>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</si>
  <si>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</si>
  <si>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31533-00</t>
  </si>
  <si>
    <t>CORE биопсија дојке</t>
  </si>
  <si>
    <t>31548-00</t>
  </si>
  <si>
    <t>SVAB биопсија дојке</t>
  </si>
  <si>
    <t>31500-01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</si>
  <si>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</si>
  <si>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</si>
  <si>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</si>
  <si>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</si>
  <si>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</si>
  <si>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</si>
  <si>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</si>
  <si>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</si>
  <si>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</si>
  <si>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Фибероптичка колоноскопија до цекума; дуга колоноскопија</t>
  </si>
  <si>
    <t>Отворена биопсија дојке</t>
  </si>
  <si>
    <t>59300-00</t>
  </si>
  <si>
    <t>55076-00</t>
  </si>
  <si>
    <t>Преглед  CORE  биопсије дојке</t>
  </si>
  <si>
    <t>Преглед  биоптата тумора дојке</t>
  </si>
  <si>
    <t>EX TEMPORE анализа добијеног материјала</t>
  </si>
  <si>
    <t>Ексфолијативна цитологија ткива репродуктивних органа жене-неаутоматизована припрема и аутоматизовано бојење</t>
  </si>
  <si>
    <t>Преглед дела цервикса добијеног методом "омчице"</t>
  </si>
  <si>
    <t>Преглед конизата цервикса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</si>
  <si>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</si>
  <si>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</si>
  <si>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</si>
  <si>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</si>
  <si>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</si>
  <si>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</si>
  <si>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</si>
  <si>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</si>
  <si>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</si>
  <si>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</si>
  <si>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</si>
  <si>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</si>
  <si>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</si>
  <si>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</si>
  <si>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</si>
  <si>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</si>
  <si>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</si>
  <si>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</si>
  <si>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</si>
  <si>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</si>
  <si>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</si>
  <si>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</si>
  <si>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</si>
  <si>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</si>
  <si>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</si>
  <si>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</si>
  <si>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</si>
  <si>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</si>
  <si>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</si>
  <si>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</si>
  <si>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</si>
  <si>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</si>
  <si>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</si>
  <si>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</si>
  <si>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</si>
  <si>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</si>
  <si>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</si>
  <si>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</si>
  <si>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</si>
  <si>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</si>
  <si>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</si>
  <si>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</si>
  <si>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</si>
  <si>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</si>
  <si>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</si>
  <si>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</si>
  <si>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</si>
  <si>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</si>
  <si>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</si>
  <si>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</si>
  <si>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</si>
  <si>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</si>
  <si>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</si>
  <si>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</si>
  <si>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</si>
  <si>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</si>
  <si>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</si>
  <si>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</si>
  <si>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</si>
  <si>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</si>
  <si>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</si>
  <si>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</si>
  <si>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Све услуге укупно</t>
  </si>
  <si>
    <t>Прегледи у оквиру организованог скрининга рака*</t>
  </si>
  <si>
    <t>Сви прегледи укупно</t>
  </si>
  <si>
    <t>Услуге пружене у оквиру организованог скрининга рака**</t>
  </si>
  <si>
    <t>Услуге пружене у оквиру организованог скрининга рака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</si>
  <si>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</si>
  <si>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</si>
  <si>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</si>
  <si>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</si>
  <si>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</si>
  <si>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</si>
  <si>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</si>
  <si>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</si>
  <si>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</si>
  <si>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</si>
  <si>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</si>
  <si>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</si>
  <si>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</si>
  <si>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</si>
  <si>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L027391</t>
  </si>
  <si>
    <t>L027409</t>
  </si>
  <si>
    <t>L026542</t>
  </si>
  <si>
    <t>L027631</t>
  </si>
  <si>
    <t>L027607</t>
  </si>
  <si>
    <t>L029447</t>
  </si>
  <si>
    <t>L028704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</si>
  <si>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</si>
  <si>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</si>
  <si>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</si>
  <si>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</si>
  <si>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</si>
  <si>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</si>
  <si>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</si>
  <si>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</si>
  <si>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</si>
  <si>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</si>
  <si>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</si>
  <si>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</si>
  <si>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</si>
  <si>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</si>
  <si>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</si>
  <si>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</si>
  <si>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Тромбоцити из buffu coat</t>
  </si>
  <si>
    <t>Тромбоцити Pul.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</si>
  <si>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</si>
  <si>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</si>
  <si>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</si>
  <si>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</si>
  <si>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</si>
  <si>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</si>
  <si>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</si>
  <si>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</si>
  <si>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</si>
  <si>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</si>
  <si>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</si>
  <si>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</si>
  <si>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</si>
  <si>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</si>
  <si>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</si>
  <si>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</si>
  <si>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</si>
  <si>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</si>
  <si>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</si>
  <si>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</si>
  <si>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</si>
  <si>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</si>
  <si>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</si>
  <si>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</si>
  <si>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</si>
  <si>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</si>
  <si>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</si>
  <si>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</si>
  <si>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</si>
  <si>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</si>
  <si>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</si>
  <si>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</si>
  <si>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</si>
  <si>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</si>
  <si>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</si>
  <si>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</si>
  <si>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</si>
  <si>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</si>
  <si>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</si>
  <si>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</si>
  <si>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</si>
  <si>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</si>
  <si>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Ултразвучна дијагностика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</si>
  <si>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</si>
  <si>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</si>
  <si>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</si>
  <si>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</si>
  <si>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</si>
  <si>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</si>
  <si>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</si>
  <si>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</si>
  <si>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</si>
  <si>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</si>
  <si>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</si>
  <si>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</si>
  <si>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</si>
  <si>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Ђ.   ОСТАЛЕ ЛАБОРАТОРИЈЕ ____________________   (навести које)</t>
  </si>
  <si>
    <t>Унети матични број здравствене установе</t>
  </si>
  <si>
    <t>Унети назив здравствене установе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</si>
  <si>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</si>
  <si>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</si>
  <si>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</si>
  <si>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</si>
  <si>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</si>
  <si>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</si>
  <si>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</si>
  <si>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</si>
  <si>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</si>
  <si>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</si>
  <si>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</si>
  <si>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</si>
  <si>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</si>
  <si>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</si>
  <si>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</si>
  <si>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</si>
  <si>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</si>
  <si>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</si>
  <si>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</si>
  <si>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</si>
  <si>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</si>
  <si>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</si>
  <si>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</si>
  <si>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</si>
  <si>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</si>
  <si>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</si>
  <si>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</si>
  <si>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</si>
  <si>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</si>
  <si>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</si>
  <si>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</si>
  <si>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</si>
  <si>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</si>
  <si>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</si>
  <si>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</si>
  <si>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</si>
  <si>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</si>
  <si>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</si>
  <si>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</si>
  <si>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</si>
  <si>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</si>
  <si>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</si>
  <si>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</si>
  <si>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</si>
  <si>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</si>
  <si>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</si>
  <si>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</si>
  <si>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</si>
  <si>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</si>
  <si>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</si>
  <si>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</si>
  <si>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</si>
  <si>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</si>
  <si>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</si>
  <si>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</si>
  <si>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</si>
  <si>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</si>
  <si>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</si>
  <si>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</si>
  <si>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</si>
  <si>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</si>
  <si>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</si>
  <si>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</si>
  <si>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</si>
  <si>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</si>
  <si>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</si>
  <si>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</si>
  <si>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</si>
  <si>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</si>
  <si>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</si>
  <si>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</si>
  <si>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</si>
  <si>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</si>
  <si>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</si>
  <si>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</si>
  <si>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</si>
  <si>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</si>
  <si>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</si>
  <si>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</si>
  <si>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</si>
  <si>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</si>
  <si>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</si>
  <si>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</si>
  <si>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</si>
  <si>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</si>
  <si>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</si>
  <si>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</si>
  <si>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</si>
  <si>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</si>
  <si>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</si>
  <si>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</si>
  <si>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</si>
  <si>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</si>
  <si>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</si>
  <si>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</si>
  <si>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</si>
  <si>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</si>
  <si>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</si>
  <si>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</si>
  <si>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</si>
  <si>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</si>
  <si>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</si>
  <si>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</si>
  <si>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</si>
  <si>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</si>
  <si>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</si>
  <si>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</si>
  <si>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</si>
  <si>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</si>
  <si>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</si>
  <si>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</si>
  <si>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</si>
  <si>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</si>
  <si>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</si>
  <si>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</si>
  <si>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</si>
  <si>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</si>
  <si>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</si>
  <si>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</si>
  <si>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</si>
  <si>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</si>
  <si>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</si>
  <si>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</si>
  <si>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</si>
  <si>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</si>
  <si>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</si>
  <si>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</si>
  <si>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</si>
  <si>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</si>
  <si>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</si>
  <si>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</si>
  <si>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</si>
  <si>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</si>
  <si>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</si>
  <si>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</si>
  <si>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</si>
  <si>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</si>
  <si>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</si>
  <si>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</si>
  <si>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</si>
  <si>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</si>
  <si>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</si>
  <si>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</si>
  <si>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</si>
  <si>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</si>
  <si>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</si>
  <si>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</si>
  <si>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</si>
  <si>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</si>
  <si>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</si>
  <si>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</si>
  <si>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</si>
  <si>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</si>
  <si>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</si>
  <si>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</si>
  <si>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</si>
  <si>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</si>
  <si>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</si>
  <si>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</si>
  <si>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</si>
  <si>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</si>
  <si>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</si>
  <si>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</si>
  <si>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</si>
  <si>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</si>
  <si>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</si>
  <si>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</si>
  <si>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</si>
  <si>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</si>
  <si>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</si>
  <si>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</si>
  <si>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</si>
  <si>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</si>
  <si>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</si>
  <si>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</si>
  <si>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</si>
  <si>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</si>
  <si>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</si>
  <si>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</si>
  <si>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</si>
  <si>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</si>
  <si>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</si>
  <si>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</si>
  <si>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</si>
  <si>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</si>
  <si>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</si>
  <si>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</si>
  <si>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</si>
  <si>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</si>
  <si>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</si>
  <si>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</si>
  <si>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</si>
  <si>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</si>
  <si>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</si>
  <si>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</si>
  <si>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</si>
  <si>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</si>
  <si>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</si>
  <si>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</si>
  <si>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</si>
  <si>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</si>
  <si>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</si>
  <si>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</si>
  <si>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</si>
  <si>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</si>
  <si>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</si>
  <si>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</si>
  <si>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</si>
  <si>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</si>
  <si>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</si>
  <si>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</si>
  <si>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</si>
  <si>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</si>
  <si>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</si>
  <si>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</si>
  <si>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</si>
  <si>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</si>
  <si>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</si>
  <si>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</si>
  <si>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</si>
  <si>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</si>
  <si>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</si>
  <si>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</si>
  <si>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</si>
  <si>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</si>
  <si>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</si>
  <si>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</si>
  <si>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</si>
  <si>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</si>
  <si>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</si>
  <si>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</si>
  <si>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</si>
  <si>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</si>
  <si>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</si>
  <si>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</si>
  <si>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</si>
  <si>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</si>
  <si>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</si>
  <si>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</si>
  <si>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</si>
  <si>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</si>
  <si>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</si>
  <si>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</si>
  <si>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</si>
  <si>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</si>
  <si>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</si>
  <si>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</si>
  <si>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</si>
  <si>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</si>
  <si>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</si>
  <si>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</si>
  <si>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</si>
  <si>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</si>
  <si>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</si>
  <si>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</si>
  <si>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</si>
  <si>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</si>
  <si>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</si>
  <si>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</si>
  <si>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</si>
  <si>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</si>
  <si>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</si>
  <si>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</si>
  <si>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</si>
  <si>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</si>
  <si>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</si>
  <si>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</si>
  <si>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</si>
  <si>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</si>
  <si>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</si>
  <si>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</si>
  <si>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</si>
  <si>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</si>
  <si>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</si>
  <si>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</si>
  <si>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</si>
  <si>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</si>
  <si>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</si>
  <si>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</si>
  <si>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</si>
  <si>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</si>
  <si>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</si>
  <si>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</si>
  <si>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</si>
  <si>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</si>
  <si>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</si>
  <si>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</si>
  <si>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</si>
  <si>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</si>
  <si>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</si>
  <si>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</si>
  <si>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</si>
  <si>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</si>
  <si>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</si>
  <si>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</si>
  <si>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</si>
  <si>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</si>
  <si>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</si>
  <si>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</si>
  <si>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</si>
  <si>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</si>
  <si>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</si>
  <si>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</si>
  <si>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</si>
  <si>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</si>
  <si>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</si>
  <si>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</si>
  <si>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</si>
  <si>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</si>
  <si>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</si>
  <si>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</si>
  <si>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</si>
  <si>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</si>
  <si>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</si>
  <si>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</si>
  <si>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</si>
  <si>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</si>
  <si>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</si>
  <si>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</si>
  <si>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</si>
  <si>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</si>
  <si>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</si>
  <si>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</si>
  <si>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</si>
  <si>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</si>
  <si>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</si>
  <si>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</si>
  <si>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</si>
  <si>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</si>
  <si>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</si>
  <si>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</si>
  <si>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</si>
  <si>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</si>
  <si>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</si>
  <si>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</si>
  <si>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</si>
  <si>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</si>
  <si>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</si>
  <si>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</si>
  <si>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</si>
  <si>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</si>
  <si>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</si>
  <si>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</si>
  <si>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</si>
  <si>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</si>
  <si>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</si>
  <si>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</si>
  <si>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</si>
  <si>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</si>
  <si>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</si>
  <si>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</si>
  <si>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</si>
  <si>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</si>
  <si>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</si>
  <si>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</si>
  <si>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</si>
  <si>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</si>
  <si>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</si>
  <si>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</si>
  <si>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</si>
  <si>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</si>
  <si>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</si>
  <si>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</si>
  <si>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</si>
  <si>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</si>
  <si>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</si>
  <si>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</si>
  <si>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</si>
  <si>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</si>
  <si>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</si>
  <si>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</si>
  <si>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</si>
  <si>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</si>
  <si>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</si>
  <si>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</si>
  <si>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</si>
  <si>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</si>
  <si>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</si>
  <si>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</si>
  <si>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</si>
  <si>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</si>
  <si>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</si>
  <si>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</si>
  <si>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</si>
  <si>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</si>
  <si>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</si>
  <si>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</si>
  <si>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</si>
  <si>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</si>
  <si>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</si>
  <si>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</si>
  <si>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</si>
  <si>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</si>
  <si>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</si>
  <si>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</si>
  <si>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</si>
  <si>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</si>
  <si>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</si>
  <si>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</si>
  <si>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</si>
  <si>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</si>
  <si>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</si>
  <si>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</si>
  <si>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</si>
  <si>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</si>
  <si>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</si>
  <si>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</si>
  <si>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</si>
  <si>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</si>
  <si>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</si>
  <si>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</si>
  <si>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</si>
  <si>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</si>
  <si>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</si>
  <si>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</si>
  <si>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</si>
  <si>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</si>
  <si>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</si>
  <si>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</si>
  <si>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</si>
  <si>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</si>
  <si>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</si>
  <si>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</si>
  <si>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</si>
  <si>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</si>
  <si>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</si>
  <si>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</si>
  <si>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</si>
  <si>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</si>
  <si>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</si>
  <si>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</si>
  <si>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</si>
  <si>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</si>
  <si>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</si>
  <si>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</si>
  <si>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</si>
  <si>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</si>
  <si>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</si>
  <si>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</si>
  <si>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</si>
  <si>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</si>
  <si>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</si>
  <si>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</si>
  <si>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</si>
  <si>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</si>
  <si>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</si>
  <si>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</si>
  <si>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</si>
  <si>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</si>
  <si>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</si>
  <si>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</si>
  <si>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</si>
  <si>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</si>
  <si>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</si>
  <si>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</si>
  <si>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</si>
  <si>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</si>
  <si>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</si>
  <si>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</si>
  <si>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</si>
  <si>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</si>
  <si>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</si>
  <si>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</si>
  <si>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</si>
  <si>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</si>
  <si>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</si>
  <si>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</si>
  <si>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</si>
  <si>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</si>
  <si>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</si>
  <si>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</si>
  <si>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</si>
  <si>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</si>
  <si>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</si>
  <si>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</si>
  <si>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</si>
  <si>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</si>
  <si>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</si>
  <si>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</si>
  <si>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</si>
  <si>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</si>
  <si>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</si>
  <si>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</si>
  <si>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</si>
  <si>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</si>
  <si>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</si>
  <si>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</si>
  <si>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</si>
  <si>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</si>
  <si>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</si>
  <si>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</si>
  <si>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</si>
  <si>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</si>
  <si>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</si>
  <si>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</si>
  <si>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</si>
  <si>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</si>
  <si>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</si>
  <si>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</si>
  <si>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</si>
  <si>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</si>
  <si>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</si>
  <si>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</si>
  <si>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</si>
  <si>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</si>
  <si>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</si>
  <si>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</si>
  <si>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</si>
  <si>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</si>
  <si>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</si>
  <si>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</si>
  <si>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</si>
  <si>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</si>
  <si>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</si>
  <si>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</si>
  <si>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</si>
  <si>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</si>
  <si>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</si>
  <si>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</si>
  <si>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</si>
  <si>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</si>
  <si>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</si>
  <si>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</si>
  <si>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</si>
  <si>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</si>
  <si>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</si>
  <si>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</si>
  <si>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</si>
  <si>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</si>
  <si>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</si>
  <si>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</si>
  <si>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</si>
  <si>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</si>
  <si>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</si>
  <si>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</si>
  <si>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</si>
  <si>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</si>
  <si>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</si>
  <si>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</si>
  <si>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</si>
  <si>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</si>
  <si>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</si>
  <si>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</si>
  <si>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</si>
  <si>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</si>
  <si>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</si>
  <si>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</si>
  <si>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</si>
  <si>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</si>
  <si>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</si>
  <si>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</si>
  <si>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</si>
  <si>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</si>
  <si>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</si>
  <si>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</si>
  <si>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</si>
  <si>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</si>
  <si>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</si>
  <si>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</si>
  <si>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</si>
  <si>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</si>
  <si>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</si>
  <si>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</si>
  <si>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</si>
  <si>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</si>
  <si>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</si>
  <si>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</si>
  <si>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</si>
  <si>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</si>
  <si>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</si>
  <si>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</si>
  <si>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</si>
  <si>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</si>
  <si>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</si>
  <si>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</si>
  <si>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</si>
  <si>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</si>
  <si>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</si>
  <si>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</si>
  <si>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</si>
  <si>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</si>
  <si>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</si>
  <si>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</si>
  <si>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</si>
  <si>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</si>
  <si>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</si>
  <si>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</si>
  <si>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</si>
  <si>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</si>
  <si>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</si>
  <si>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</si>
  <si>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</si>
  <si>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</si>
  <si>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</si>
  <si>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</si>
  <si>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</si>
  <si>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</si>
  <si>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</si>
  <si>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</si>
  <si>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</si>
  <si>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</si>
  <si>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</si>
  <si>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</si>
  <si>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</si>
  <si>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</si>
  <si>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</si>
  <si>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</si>
  <si>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</si>
  <si>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</si>
  <si>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</si>
  <si>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</si>
  <si>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</si>
  <si>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</si>
  <si>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</si>
  <si>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</si>
  <si>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</si>
  <si>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</si>
  <si>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</si>
  <si>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</si>
  <si>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</si>
  <si>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</si>
  <si>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</si>
  <si>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</si>
  <si>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</si>
  <si>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</si>
  <si>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</si>
  <si>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</si>
  <si>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</si>
  <si>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</si>
  <si>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</si>
  <si>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</si>
  <si>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</si>
  <si>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</si>
  <si>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</si>
  <si>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</si>
  <si>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</si>
  <si>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</si>
  <si>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</si>
  <si>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</si>
  <si>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</si>
  <si>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</si>
  <si>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</si>
  <si>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</si>
  <si>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</si>
  <si>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</si>
  <si>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</si>
  <si>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</si>
  <si>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</si>
  <si>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</si>
  <si>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</si>
  <si>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</si>
  <si>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</si>
  <si>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</si>
  <si>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</si>
  <si>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</si>
  <si>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</si>
  <si>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</si>
  <si>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</si>
  <si>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</si>
  <si>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</si>
  <si>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</si>
  <si>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</si>
  <si>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</si>
  <si>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</si>
  <si>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</si>
  <si>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</si>
  <si>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</si>
  <si>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</si>
  <si>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</si>
  <si>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</si>
  <si>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</si>
  <si>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</si>
  <si>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</si>
  <si>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</si>
  <si>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</si>
  <si>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</si>
  <si>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</si>
  <si>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</si>
  <si>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</si>
  <si>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</si>
  <si>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</si>
  <si>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</si>
  <si>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</si>
  <si>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</si>
  <si>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</si>
  <si>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</si>
  <si>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</si>
  <si>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</si>
  <si>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</si>
  <si>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</si>
  <si>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</si>
  <si>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</si>
  <si>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</si>
  <si>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</si>
  <si>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</si>
  <si>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</si>
  <si>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</si>
  <si>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</si>
  <si>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</si>
  <si>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</si>
  <si>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</si>
  <si>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</si>
  <si>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</si>
  <si>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</si>
  <si>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</si>
  <si>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</si>
  <si>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</si>
  <si>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</si>
  <si>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</si>
  <si>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</si>
  <si>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</si>
  <si>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</si>
  <si>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</si>
  <si>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</si>
  <si>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</si>
  <si>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</si>
  <si>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</si>
  <si>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</si>
  <si>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</si>
  <si>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</si>
  <si>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</si>
  <si>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</si>
  <si>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</si>
  <si>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</si>
  <si>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</si>
  <si>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</si>
  <si>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</si>
  <si>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</si>
  <si>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</si>
  <si>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</si>
  <si>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</si>
  <si>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</si>
  <si>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</si>
  <si>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</si>
  <si>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</si>
  <si>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</si>
  <si>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</si>
  <si>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</si>
  <si>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</si>
  <si>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</si>
  <si>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</si>
  <si>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</si>
  <si>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</si>
  <si>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</si>
  <si>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</si>
  <si>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</si>
  <si>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</si>
  <si>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</si>
  <si>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</si>
  <si>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</si>
  <si>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</si>
  <si>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</si>
  <si>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</si>
  <si>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</si>
  <si>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</si>
  <si>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</si>
  <si>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</si>
  <si>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</si>
  <si>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</si>
  <si>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</si>
  <si>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</si>
  <si>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</si>
  <si>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</si>
  <si>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</si>
  <si>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</si>
  <si>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</si>
  <si>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</si>
  <si>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</si>
  <si>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</si>
  <si>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</si>
  <si>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</si>
  <si>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</si>
  <si>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</si>
  <si>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</si>
  <si>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</si>
  <si>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</si>
  <si>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</si>
  <si>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</si>
  <si>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</si>
  <si>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</si>
  <si>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</si>
  <si>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</si>
  <si>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</si>
  <si>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</si>
  <si>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</si>
  <si>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</si>
  <si>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</si>
  <si>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</si>
  <si>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</si>
  <si>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</si>
  <si>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</si>
  <si>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</si>
  <si>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</si>
  <si>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</si>
  <si>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</si>
  <si>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</si>
  <si>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</si>
  <si>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</si>
  <si>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</si>
  <si>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</si>
  <si>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</si>
  <si>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</si>
  <si>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</si>
  <si>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</si>
  <si>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</si>
  <si>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</si>
  <si>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</si>
  <si>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</si>
  <si>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</si>
  <si>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</si>
  <si>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</si>
  <si>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</si>
  <si>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</si>
  <si>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</si>
  <si>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</si>
  <si>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</si>
  <si>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</si>
  <si>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</si>
  <si>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</si>
  <si>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</si>
  <si>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</si>
  <si>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</si>
  <si>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</si>
  <si>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</si>
  <si>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</si>
  <si>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</si>
  <si>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</si>
  <si>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</si>
  <si>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</si>
  <si>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</si>
  <si>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</si>
  <si>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</si>
  <si>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</si>
  <si>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</si>
  <si>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</si>
  <si>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</si>
  <si>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</si>
  <si>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</si>
  <si>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</si>
  <si>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</si>
  <si>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</si>
  <si>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</si>
  <si>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</si>
  <si>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</si>
  <si>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</si>
  <si>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</si>
  <si>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</si>
  <si>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</si>
  <si>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</si>
  <si>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</si>
  <si>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</si>
  <si>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</si>
  <si>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</si>
  <si>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</si>
  <si>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</si>
  <si>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</si>
  <si>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</si>
  <si>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</si>
  <si>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</si>
  <si>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</si>
  <si>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</si>
  <si>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</si>
  <si>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</si>
  <si>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</si>
  <si>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</si>
  <si>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</si>
  <si>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</si>
  <si>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</si>
  <si>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</si>
  <si>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</si>
  <si>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</si>
  <si>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</si>
  <si>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</si>
  <si>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</si>
  <si>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</si>
  <si>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</si>
  <si>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</si>
  <si>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</si>
  <si>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</si>
  <si>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</si>
  <si>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</si>
  <si>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</si>
  <si>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</si>
  <si>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</si>
  <si>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</si>
  <si>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</si>
  <si>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</si>
  <si>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</si>
  <si>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</si>
  <si>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</si>
  <si>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</si>
  <si>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</si>
  <si>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</si>
  <si>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</si>
  <si>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</si>
  <si>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</si>
  <si>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</si>
  <si>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</si>
  <si>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</si>
  <si>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</si>
  <si>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</si>
  <si>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</si>
  <si>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</si>
  <si>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</si>
  <si>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</si>
  <si>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</si>
  <si>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</si>
  <si>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</si>
  <si>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</si>
  <si>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</si>
  <si>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</si>
  <si>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</si>
  <si>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</si>
  <si>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</si>
  <si>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</si>
  <si>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</si>
  <si>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</si>
  <si>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</si>
  <si>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</si>
  <si>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</si>
  <si>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</si>
  <si>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</si>
  <si>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</si>
  <si>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</si>
  <si>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</si>
  <si>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</si>
  <si>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</si>
  <si>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</si>
  <si>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</si>
  <si>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</si>
  <si>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</si>
  <si>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</si>
  <si>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</si>
  <si>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</si>
  <si>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</si>
  <si>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</si>
  <si>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</si>
  <si>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</si>
  <si>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</si>
  <si>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</si>
  <si>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</si>
  <si>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</si>
  <si>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</si>
  <si>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</si>
  <si>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</si>
  <si>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</si>
  <si>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</si>
  <si>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</si>
  <si>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</si>
  <si>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</si>
  <si>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</si>
  <si>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</si>
  <si>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</si>
  <si>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</si>
  <si>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</si>
  <si>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</si>
  <si>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</si>
  <si>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</si>
  <si>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</si>
  <si>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</si>
  <si>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</si>
  <si>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</si>
  <si>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</si>
  <si>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</si>
  <si>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</si>
  <si>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</si>
  <si>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</si>
  <si>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</si>
  <si>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</si>
  <si>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</si>
  <si>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</si>
  <si>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</si>
  <si>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</si>
  <si>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</si>
  <si>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</si>
  <si>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</si>
  <si>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</si>
  <si>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</si>
  <si>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</si>
  <si>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</si>
  <si>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</si>
  <si>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</si>
  <si>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</si>
  <si>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</si>
  <si>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</si>
  <si>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</si>
  <si>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</si>
  <si>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</si>
  <si>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</si>
  <si>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</si>
  <si>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</si>
  <si>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</si>
  <si>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</si>
  <si>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</si>
  <si>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</si>
  <si>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</si>
  <si>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</si>
  <si>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</si>
  <si>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</si>
  <si>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</si>
  <si>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</si>
  <si>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</si>
  <si>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</si>
  <si>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</si>
  <si>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</si>
  <si>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</si>
  <si>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</si>
  <si>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</si>
  <si>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</si>
  <si>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</si>
  <si>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</si>
  <si>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</si>
  <si>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</si>
  <si>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</si>
  <si>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</si>
  <si>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</si>
  <si>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</si>
  <si>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</si>
  <si>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</si>
  <si>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</si>
  <si>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</si>
  <si>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</si>
  <si>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</si>
  <si>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</si>
  <si>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</si>
  <si>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</si>
  <si>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</si>
  <si>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</si>
  <si>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</si>
  <si>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</si>
  <si>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</si>
  <si>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</si>
  <si>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</si>
  <si>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</si>
  <si>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</si>
  <si>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</si>
  <si>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</si>
  <si>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</si>
  <si>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</si>
  <si>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</si>
  <si>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</si>
  <si>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</si>
  <si>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</si>
  <si>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</si>
  <si>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</si>
  <si>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</si>
  <si>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</si>
  <si>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</si>
  <si>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</si>
  <si>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</si>
  <si>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</si>
  <si>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</si>
  <si>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</si>
  <si>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</si>
  <si>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</si>
  <si>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</si>
  <si>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</si>
  <si>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</si>
  <si>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</si>
  <si>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</si>
  <si>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</si>
  <si>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</si>
  <si>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</si>
  <si>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</si>
  <si>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</si>
  <si>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</si>
  <si>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</si>
  <si>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</si>
  <si>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</si>
  <si>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</si>
  <si>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</si>
  <si>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</si>
  <si>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</si>
  <si>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</si>
  <si>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</si>
  <si>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</si>
  <si>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</si>
  <si>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</si>
  <si>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</si>
  <si>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</si>
  <si>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</si>
  <si>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</si>
  <si>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</si>
  <si>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</si>
  <si>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</si>
  <si>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</si>
  <si>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</si>
  <si>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</si>
  <si>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</si>
  <si>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</si>
  <si>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</si>
  <si>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</si>
  <si>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</si>
  <si>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</si>
  <si>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</si>
  <si>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</si>
  <si>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</si>
  <si>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</si>
  <si>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</si>
  <si>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</si>
  <si>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</si>
  <si>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</si>
  <si>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</si>
  <si>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</si>
  <si>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</si>
  <si>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</si>
  <si>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</si>
  <si>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</si>
  <si>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</si>
  <si>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</si>
  <si>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</si>
  <si>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</si>
  <si>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</si>
  <si>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</si>
  <si>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</si>
  <si>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</si>
  <si>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</si>
  <si>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</si>
  <si>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</si>
  <si>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</si>
  <si>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</si>
  <si>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</si>
  <si>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</si>
  <si>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</si>
  <si>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</si>
  <si>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</si>
  <si>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</si>
  <si>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</si>
  <si>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</si>
  <si>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</si>
  <si>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</si>
  <si>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</si>
  <si>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</si>
  <si>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</si>
  <si>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</si>
  <si>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</si>
  <si>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</si>
  <si>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</si>
  <si>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</si>
  <si>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</si>
  <si>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</si>
  <si>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</si>
  <si>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</si>
  <si>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</si>
  <si>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</si>
  <si>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</si>
  <si>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</si>
  <si>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</si>
  <si>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</si>
  <si>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</si>
  <si>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</si>
  <si>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</si>
  <si>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</si>
  <si>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</si>
  <si>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</si>
  <si>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</si>
  <si>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</si>
  <si>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</si>
  <si>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</si>
  <si>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</si>
  <si>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</si>
  <si>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</si>
  <si>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</si>
  <si>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</si>
  <si>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</si>
  <si>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</si>
  <si>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</si>
  <si>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</si>
  <si>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</si>
  <si>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</si>
  <si>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</si>
  <si>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</si>
  <si>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</si>
  <si>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</si>
  <si>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</si>
  <si>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</si>
  <si>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</si>
  <si>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</si>
  <si>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</si>
  <si>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</si>
  <si>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</si>
  <si>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</si>
  <si>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</si>
  <si>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</si>
  <si>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</si>
  <si>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</si>
  <si>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</si>
  <si>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</si>
  <si>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</si>
  <si>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</si>
  <si>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</si>
  <si>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</si>
  <si>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</si>
  <si>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</si>
  <si>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</si>
  <si>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</si>
  <si>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</si>
  <si>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</si>
  <si>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</si>
  <si>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</si>
  <si>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</si>
  <si>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</si>
  <si>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</si>
  <si>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</si>
  <si>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</si>
  <si>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</si>
  <si>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</si>
  <si>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</si>
  <si>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</si>
  <si>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</si>
  <si>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</si>
  <si>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</si>
  <si>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</si>
  <si>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</si>
  <si>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</si>
  <si>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</si>
  <si>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</si>
  <si>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</si>
  <si>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</si>
  <si>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</si>
  <si>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</si>
  <si>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</si>
  <si>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</si>
  <si>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</si>
  <si>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</si>
  <si>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</si>
  <si>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</si>
  <si>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</si>
  <si>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</si>
  <si>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</si>
  <si>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</si>
  <si>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</si>
  <si>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</si>
  <si>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</si>
  <si>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</si>
  <si>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</si>
  <si>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</si>
  <si>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</si>
  <si>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</si>
  <si>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</si>
  <si>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</si>
  <si>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</si>
  <si>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</si>
  <si>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</si>
  <si>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</si>
  <si>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</si>
  <si>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</si>
  <si>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</si>
  <si>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</si>
  <si>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</si>
  <si>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</si>
  <si>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</si>
  <si>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</si>
  <si>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</si>
  <si>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</si>
  <si>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</si>
  <si>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</si>
  <si>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</si>
  <si>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</si>
  <si>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</si>
  <si>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</si>
  <si>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</si>
  <si>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</si>
  <si>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</si>
  <si>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</si>
  <si>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</si>
  <si>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</si>
  <si>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</si>
  <si>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</si>
  <si>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</si>
  <si>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</si>
  <si>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</si>
  <si>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</si>
  <si>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</si>
  <si>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</si>
  <si>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</si>
  <si>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</si>
  <si>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</si>
  <si>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</si>
  <si>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</si>
  <si>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</si>
  <si>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</si>
  <si>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</si>
  <si>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</si>
  <si>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</si>
  <si>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</si>
  <si>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</si>
  <si>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</si>
  <si>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</si>
  <si>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</si>
  <si>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</si>
  <si>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</si>
  <si>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</si>
  <si>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</si>
  <si>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</si>
  <si>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</si>
  <si>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</si>
  <si>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</si>
  <si>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</si>
  <si>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</si>
  <si>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</si>
  <si>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</si>
  <si>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</si>
  <si>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</si>
  <si>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</si>
  <si>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</si>
  <si>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</si>
  <si>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</si>
  <si>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</si>
  <si>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</si>
  <si>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</si>
  <si>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</si>
  <si>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</si>
  <si>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</si>
  <si>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</si>
  <si>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</si>
  <si>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</si>
  <si>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</si>
  <si>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</si>
  <si>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</si>
  <si>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</si>
  <si>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</si>
  <si>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</si>
  <si>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</si>
  <si>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</si>
  <si>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</si>
  <si>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</si>
  <si>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</si>
  <si>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</si>
  <si>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</si>
  <si>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</si>
  <si>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</si>
  <si>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</si>
  <si>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</si>
  <si>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</si>
  <si>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</si>
  <si>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</si>
  <si>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</si>
  <si>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</si>
  <si>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</si>
  <si>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</si>
  <si>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</si>
  <si>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</si>
  <si>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</si>
  <si>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</si>
  <si>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</si>
  <si>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</si>
  <si>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</si>
  <si>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</si>
  <si>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</si>
  <si>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</si>
  <si>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</si>
  <si>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</si>
  <si>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</si>
  <si>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</si>
  <si>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</si>
  <si>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</si>
  <si>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</si>
  <si>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</si>
  <si>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</si>
  <si>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</si>
  <si>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</si>
  <si>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</si>
  <si>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</si>
  <si>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</si>
  <si>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</si>
  <si>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</si>
  <si>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</si>
  <si>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</si>
  <si>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</si>
  <si>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</si>
  <si>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</si>
  <si>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</si>
  <si>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</si>
  <si>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</si>
  <si>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</si>
  <si>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</si>
  <si>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</si>
  <si>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</si>
  <si>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</si>
  <si>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</si>
  <si>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</si>
  <si>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</si>
  <si>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</si>
  <si>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</si>
  <si>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</si>
  <si>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</si>
  <si>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</si>
  <si>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</si>
  <si>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</si>
  <si>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</si>
  <si>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</si>
  <si>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</si>
  <si>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</si>
  <si>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</si>
  <si>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</si>
  <si>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</si>
  <si>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</si>
  <si>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</si>
  <si>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</si>
  <si>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</si>
  <si>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</si>
  <si>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</si>
  <si>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</si>
  <si>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</si>
  <si>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</si>
  <si>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</si>
  <si>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</si>
  <si>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</si>
  <si>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</si>
  <si>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</si>
  <si>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</si>
  <si>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</si>
  <si>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</si>
  <si>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</si>
  <si>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</si>
  <si>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</si>
  <si>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</si>
  <si>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</si>
  <si>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</si>
  <si>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</si>
  <si>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</si>
  <si>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</si>
  <si>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</si>
  <si>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</si>
  <si>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</si>
  <si>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</si>
  <si>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</si>
  <si>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</si>
  <si>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</si>
  <si>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</si>
  <si>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</si>
  <si>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</si>
  <si>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</si>
  <si>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</si>
  <si>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</si>
  <si>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</si>
  <si>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</si>
  <si>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</si>
  <si>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</si>
  <si>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</si>
  <si>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</si>
  <si>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</si>
  <si>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</si>
  <si>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</si>
  <si>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</si>
  <si>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</si>
  <si>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</si>
  <si>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</si>
  <si>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</si>
  <si>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</si>
  <si>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</si>
  <si>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</si>
  <si>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</si>
  <si>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</si>
  <si>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</si>
  <si>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</si>
  <si>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</si>
  <si>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</si>
  <si>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</si>
  <si>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</si>
  <si>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</si>
  <si>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</si>
  <si>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</si>
  <si>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</si>
  <si>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</si>
  <si>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</si>
  <si>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</si>
  <si>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</si>
  <si>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</si>
  <si>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</si>
  <si>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</si>
  <si>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</si>
  <si>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</si>
  <si>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</si>
  <si>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</si>
  <si>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</si>
  <si>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</si>
  <si>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</si>
  <si>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</si>
  <si>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</si>
  <si>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</si>
  <si>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</si>
  <si>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</si>
  <si>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</si>
  <si>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</si>
  <si>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</si>
  <si>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</si>
  <si>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11. </t>
  </si>
  <si>
    <t>Табела 12.</t>
  </si>
  <si>
    <t>Табела 16.</t>
  </si>
  <si>
    <t>Табела 17.</t>
  </si>
  <si>
    <t>Табела 21.</t>
  </si>
  <si>
    <t>Број исписаних болесника 2019.</t>
  </si>
  <si>
    <t>Број бо  дана 2019.</t>
  </si>
  <si>
    <t>Просечна дневна заузетост постеља у 2019. (%)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</si>
  <si>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</si>
  <si>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</si>
  <si>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</si>
  <si>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</si>
  <si>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</si>
  <si>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</si>
  <si>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</si>
  <si>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</si>
  <si>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</si>
  <si>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</si>
  <si>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</si>
  <si>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</si>
  <si>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</si>
  <si>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</si>
  <si>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</si>
  <si>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</si>
  <si>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</si>
  <si>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</si>
  <si>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</si>
  <si>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</si>
  <si>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</si>
  <si>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</si>
  <si>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</si>
  <si>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</si>
  <si>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</si>
  <si>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</si>
  <si>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</si>
  <si>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Интерна медицина</t>
  </si>
  <si>
    <t>Дерматовенерологија</t>
  </si>
  <si>
    <t>Општа хирургија</t>
  </si>
  <si>
    <t>Педијатрија</t>
  </si>
  <si>
    <t>Акушерство и гинекологија</t>
  </si>
  <si>
    <t>Пнеумофтизиологија</t>
  </si>
  <si>
    <t>Заштита менталног здравља</t>
  </si>
  <si>
    <t>Офталмологија</t>
  </si>
  <si>
    <t>Оториноларингологија</t>
  </si>
  <si>
    <t>Управна зграда/техничка служба</t>
  </si>
  <si>
    <t>Oпшта хирургија</t>
  </si>
  <si>
    <t>Oпшта болница Алексинац</t>
  </si>
  <si>
    <t>Специјалистички преглед контролни</t>
  </si>
  <si>
    <t>000002</t>
  </si>
  <si>
    <t>Специјалистички преглед први</t>
  </si>
  <si>
    <t>000001</t>
  </si>
  <si>
    <t>Специјалистички психијатријски преглед поновни</t>
  </si>
  <si>
    <t>090084</t>
  </si>
  <si>
    <t>Специјалистички психијатријски преглед</t>
  </si>
  <si>
    <t>090061</t>
  </si>
  <si>
    <t>Одсек за ментално здравље - Неуропсихијатрија</t>
  </si>
  <si>
    <t>Одсек за ментално здравље - Неурологија</t>
  </si>
  <si>
    <t>Преглед новорођенчета</t>
  </si>
  <si>
    <t>Општи физикални преглед</t>
  </si>
  <si>
    <t>92001-00</t>
  </si>
  <si>
    <t>Специјалистички преглед физијатра - контролни</t>
  </si>
  <si>
    <t>Специјалистички преглед физијатра</t>
  </si>
  <si>
    <t>Физикална медицина</t>
  </si>
  <si>
    <t>Спец. консулт. делатност - Дерматовенеролог.</t>
  </si>
  <si>
    <t>Превентивни преглед</t>
  </si>
  <si>
    <t>009220</t>
  </si>
  <si>
    <t>Спец. консулт. делатност - ОРЛ</t>
  </si>
  <si>
    <t>Спец. консулт. делатност - Офталмологија</t>
  </si>
  <si>
    <t>Кабинет за плућне болести - пнеумофтиз заштита</t>
  </si>
  <si>
    <t>Служба за педијатрију</t>
  </si>
  <si>
    <t>Гинеколошки преглед</t>
  </si>
  <si>
    <t>35500-00</t>
  </si>
  <si>
    <t>Служба за гин. и акуш. са неонатологијом</t>
  </si>
  <si>
    <t>Одсек анестезиологије са реанимацијом</t>
  </si>
  <si>
    <t>Сектор за хируршке гране - Урологија</t>
  </si>
  <si>
    <t>Специјалистички преглед примаријуса или доцента КОНТРОЛНИ</t>
  </si>
  <si>
    <t>000006</t>
  </si>
  <si>
    <t>Специјалистички преглед примаријуса или доцента ПРВИ</t>
  </si>
  <si>
    <t>000005</t>
  </si>
  <si>
    <t>Сектор за хируршке гране - Ортопедија</t>
  </si>
  <si>
    <t>Сектор за хируршке гране - Хирургија</t>
  </si>
  <si>
    <t>Сектор за интернистичке гране медицине</t>
  </si>
  <si>
    <t>Табела</t>
  </si>
  <si>
    <t>Гинекологија</t>
  </si>
  <si>
    <t>Здравствене услуге РФЗО</t>
  </si>
  <si>
    <t xml:space="preserve"> Организациона јединица</t>
  </si>
  <si>
    <t>Уролошко одељење и урол. амбуланта</t>
  </si>
  <si>
    <t>OПЕРАЦИЈЕ УРОЛОГИЈА</t>
  </si>
  <si>
    <t>30071-00</t>
  </si>
  <si>
    <t>Биопсија коже и поткожног ткива</t>
  </si>
  <si>
    <t>30075-27</t>
  </si>
  <si>
    <t xml:space="preserve">Биопсија промене на пенису </t>
  </si>
  <si>
    <t>30614-02</t>
  </si>
  <si>
    <t>Репарација ингвиналне хенрије једнострано</t>
  </si>
  <si>
    <t>30628-00</t>
  </si>
  <si>
    <t>перкутана пункција и аспирација хидроцеле</t>
  </si>
  <si>
    <t>30631-00</t>
  </si>
  <si>
    <t>Операција хидроцеле и /или фуникулоцеле</t>
  </si>
  <si>
    <t>30635-00</t>
  </si>
  <si>
    <t xml:space="preserve">Операција варикоцеле (субингвинална) </t>
  </si>
  <si>
    <t>30641-00</t>
  </si>
  <si>
    <t>Орхидектомија, једнострана</t>
  </si>
  <si>
    <t>30641-01</t>
  </si>
  <si>
    <t xml:space="preserve">Орхидектомија, обострана </t>
  </si>
  <si>
    <t>30644-05</t>
  </si>
  <si>
    <t xml:space="preserve">Биопсија тестиса, обострана - отворена </t>
  </si>
  <si>
    <t>30653-00</t>
  </si>
  <si>
    <t xml:space="preserve">Циркумцизија (обрезивање) мушкарца </t>
  </si>
  <si>
    <t>35570-00</t>
  </si>
  <si>
    <t>Репарација предњег дела вагине, вагинални приступ</t>
  </si>
  <si>
    <t>35571-00</t>
  </si>
  <si>
    <t>Репарација заднјег дела вагине</t>
  </si>
  <si>
    <t>35595-01</t>
  </si>
  <si>
    <t>Репарација карличног дна абдоминалним приступом</t>
  </si>
  <si>
    <t>35599-00</t>
  </si>
  <si>
    <t>Слинг процедура код стрес инконтиненције код жена</t>
  </si>
  <si>
    <t>36528-00</t>
  </si>
  <si>
    <t>36528-01</t>
  </si>
  <si>
    <t>Радикална нефректомија због тумора бубрежног паренхима - отворена хирургија</t>
  </si>
  <si>
    <t>36531-01</t>
  </si>
  <si>
    <t>Нефроуретероромија - отворена хирургија</t>
  </si>
  <si>
    <t>36549-00</t>
  </si>
  <si>
    <t>Уретеролитотомија - отворена хирургија (примарни рад)</t>
  </si>
  <si>
    <t>36564-01</t>
  </si>
  <si>
    <t>Пијелопластика – отворена хирургија (примарни рад)</t>
  </si>
  <si>
    <t>36585-01</t>
  </si>
  <si>
    <t>Формирање кутане уретеростомије (једнострано) - отворена хирургија</t>
  </si>
  <si>
    <t>36585-03</t>
  </si>
  <si>
    <t>Формирање кутане уретеростомије (обострано) - отворена хирургија</t>
  </si>
  <si>
    <t>36588-01</t>
  </si>
  <si>
    <t>Реимплатација уретера и мокраћне бешике (једнострана) - отворена хирургија</t>
  </si>
  <si>
    <t>37004-03</t>
  </si>
  <si>
    <t>Репарација руптуре моркаћне бешике - отворена хирургија</t>
  </si>
  <si>
    <t>37008-03</t>
  </si>
  <si>
    <t>Цистолитотомија – отворена хирургија</t>
  </si>
  <si>
    <t>37008-05</t>
  </si>
  <si>
    <t>Уклањање страног тела из мокраћне бешике - отворена хирургија</t>
  </si>
  <si>
    <t>37011-00</t>
  </si>
  <si>
    <t>Цистостомија са пласирањем супрапубичног катетера систофикса перкутана цистостомија</t>
  </si>
  <si>
    <t>37020-01</t>
  </si>
  <si>
    <t>ексцизија дивертикулума бешике</t>
  </si>
  <si>
    <t>37029-01</t>
  </si>
  <si>
    <t>Затварање везико-вагиналне фистуле-отворена хирургија</t>
  </si>
  <si>
    <t>37044-00</t>
  </si>
  <si>
    <t>Ретропубична процедура код стрес-инконтиненције код мушкарца</t>
  </si>
  <si>
    <t>37200-03</t>
  </si>
  <si>
    <t>Супрапубична простатектомија</t>
  </si>
  <si>
    <t>37211-00</t>
  </si>
  <si>
    <t>Радикална простактектомија са реконструкцијом врата мокраћне бешике и пелвичном лимфаденектомијом</t>
  </si>
  <si>
    <t>37212-00</t>
  </si>
  <si>
    <t>Биопсија простате</t>
  </si>
  <si>
    <t>37321-00</t>
  </si>
  <si>
    <t>Инцизија спољашњег отвора уретре (меатотомија )</t>
  </si>
  <si>
    <t>37340-00</t>
  </si>
  <si>
    <t>уклањање уретералног слинга-тот</t>
  </si>
  <si>
    <t>37342-00</t>
  </si>
  <si>
    <t>Пластика уретре - у једном акту</t>
  </si>
  <si>
    <t>37369-00</t>
  </si>
  <si>
    <t>Ексцизија пролапса уретре</t>
  </si>
  <si>
    <t>37393-00</t>
  </si>
  <si>
    <t>Декомпресија пријапизма - пункција и лаважа каверозних тела</t>
  </si>
  <si>
    <t>37393-01</t>
  </si>
  <si>
    <t>Декомпресија пријапизма - пункција и аспирација каверозних тела</t>
  </si>
  <si>
    <t>37396-00</t>
  </si>
  <si>
    <t>Шант процедуре код лечења пријапизма</t>
  </si>
  <si>
    <t>37402-00</t>
  </si>
  <si>
    <t>Парцијална ампутација пениса</t>
  </si>
  <si>
    <t>37408-01</t>
  </si>
  <si>
    <t>Сутура кавернозних тела код руптуре/фрактуре пениса</t>
  </si>
  <si>
    <t>37411-00</t>
  </si>
  <si>
    <t>Репарација алвузије пениса</t>
  </si>
  <si>
    <t>37417-00</t>
  </si>
  <si>
    <t>Корекција курватуре пениса</t>
  </si>
  <si>
    <t>37420-00</t>
  </si>
  <si>
    <t>Подвезивање вене ради заустављања рапидне пенилне дренаже</t>
  </si>
  <si>
    <t>37601-02</t>
  </si>
  <si>
    <t xml:space="preserve">Ексцизија цисте епидидимиса, једнострана </t>
  </si>
  <si>
    <t>37601-03</t>
  </si>
  <si>
    <t xml:space="preserve">Ексцизија цисте епидидимиса, обострана </t>
  </si>
  <si>
    <t>37604-00</t>
  </si>
  <si>
    <t xml:space="preserve">Експлорација скроталног садржаја, једнострано </t>
  </si>
  <si>
    <t>37604-04</t>
  </si>
  <si>
    <t>Експлорација скроталног садржаја, са фиксацијом тестиса - једнострано</t>
  </si>
  <si>
    <t>37604-05</t>
  </si>
  <si>
    <t>Експлорација скроталног садржаја, са фиксацијом тестиса - обострано</t>
  </si>
  <si>
    <t>37800-01</t>
  </si>
  <si>
    <t>Цистотомија са пласирањем супрапубићног катетера-отворена хирургија</t>
  </si>
  <si>
    <t>37812-00</t>
  </si>
  <si>
    <t>Експолорација препоне у циљу детекције</t>
  </si>
  <si>
    <t>90397-00</t>
  </si>
  <si>
    <t>Сутура лацерације скротума или тунике вагиналис</t>
  </si>
  <si>
    <t>90399-00</t>
  </si>
  <si>
    <t>Редукција торзије тестиса или семене врпце</t>
  </si>
  <si>
    <t>90402-01</t>
  </si>
  <si>
    <t>Уклањање адхезија препуцијума и гланса пениса</t>
  </si>
  <si>
    <t>90403-00</t>
  </si>
  <si>
    <t>Локална ексцизија лезије на пениса</t>
  </si>
  <si>
    <t>ИНТЕРВЕНЦИЈЕ УРОЛОГИЈА</t>
  </si>
  <si>
    <t>30023-00</t>
  </si>
  <si>
    <t xml:space="preserve">Ексцизијски дебридман меког ткива </t>
  </si>
  <si>
    <t>30189-00</t>
  </si>
  <si>
    <t>Уклањање москуле</t>
  </si>
  <si>
    <t>30195-07</t>
  </si>
  <si>
    <t>Електро терапија лезија на кожи</t>
  </si>
  <si>
    <t>30666-00</t>
  </si>
  <si>
    <t xml:space="preserve">Редукција парафимозе </t>
  </si>
  <si>
    <t>35523-00</t>
  </si>
  <si>
    <t xml:space="preserve">Ексцизија карункула уретре </t>
  </si>
  <si>
    <t>35527-00</t>
  </si>
  <si>
    <t xml:space="preserve">Електрокаутеризација карункула уретре </t>
  </si>
  <si>
    <t>36812-00</t>
  </si>
  <si>
    <t>Цистоскопија</t>
  </si>
  <si>
    <t>37303-00</t>
  </si>
  <si>
    <t>Дилатација стенозе буржирање</t>
  </si>
  <si>
    <t>Инцизија спољашњег отвора уретре (меатотомија)</t>
  </si>
  <si>
    <t>37435-00</t>
  </si>
  <si>
    <t>Пластика френулума (френулотомија)</t>
  </si>
  <si>
    <t>90402-02</t>
  </si>
  <si>
    <t>Дорзална инцизија препуцијума</t>
  </si>
  <si>
    <t>92099-00</t>
  </si>
  <si>
    <t>Испирање нефростоме или пијелостоме</t>
  </si>
  <si>
    <t>92101-00</t>
  </si>
  <si>
    <t xml:space="preserve">Испирање осталих трајних катетера мокраћне бешике </t>
  </si>
  <si>
    <t>92102-00</t>
  </si>
  <si>
    <t>Испирање цистостоме</t>
  </si>
  <si>
    <t>92141-00</t>
  </si>
  <si>
    <t>Уклањање дрена из трбуха</t>
  </si>
  <si>
    <t>92195-00</t>
  </si>
  <si>
    <t>Испирање катетера, некласификовано на другом месту</t>
  </si>
  <si>
    <t>ТЕРАПИЈСКЕ УСЛУГЕ УРОЛОГИЈА</t>
  </si>
  <si>
    <t>Пријава болничке инфекције</t>
  </si>
  <si>
    <t>30055-00</t>
  </si>
  <si>
    <t>Превијање ране</t>
  </si>
  <si>
    <t>36800-00</t>
  </si>
  <si>
    <t>Катетеризација мокраћне бешике – кроз уретру</t>
  </si>
  <si>
    <t>36800-02</t>
  </si>
  <si>
    <t>Замена супрапубичног катетера (цистостомског )</t>
  </si>
  <si>
    <t>36800-03</t>
  </si>
  <si>
    <t>Уклањање сталног уринарног катетера – кроз уретру (ендоскопски)</t>
  </si>
  <si>
    <t>90392-00</t>
  </si>
  <si>
    <t>Контрола постоперативног крварења из простате</t>
  </si>
  <si>
    <t>Мануелна детрозија тестиса</t>
  </si>
  <si>
    <t xml:space="preserve">92036-00 </t>
  </si>
  <si>
    <t>Пласирање назогастричне сонде</t>
  </si>
  <si>
    <t xml:space="preserve">92037-00 </t>
  </si>
  <si>
    <t>Испирање назогастричне сонде</t>
  </si>
  <si>
    <t xml:space="preserve">92044-00 </t>
  </si>
  <si>
    <t xml:space="preserve">Остале терапије обогаћивања кисеоника/ом </t>
  </si>
  <si>
    <t xml:space="preserve">92052-00 </t>
  </si>
  <si>
    <t>Кардиопулмонална реанимација</t>
  </si>
  <si>
    <t xml:space="preserve">92053-00 </t>
  </si>
  <si>
    <t xml:space="preserve">Затворена масажа срца </t>
  </si>
  <si>
    <t>Испирање нефростоме</t>
  </si>
  <si>
    <t>92131-00</t>
  </si>
  <si>
    <t xml:space="preserve">Масажа простате </t>
  </si>
  <si>
    <t>92200-00</t>
  </si>
  <si>
    <t xml:space="preserve">Скидање конца </t>
  </si>
  <si>
    <t>92513-10</t>
  </si>
  <si>
    <t>Инфилтрација локалног анестетика -АСА 10</t>
  </si>
  <si>
    <t>92513-19</t>
  </si>
  <si>
    <t>Инфилтрација локалног анестетика -АСА 19</t>
  </si>
  <si>
    <t>96158-00</t>
  </si>
  <si>
    <t>Поновно увежбавање контроле мокрења</t>
  </si>
  <si>
    <t>96171-00</t>
  </si>
  <si>
    <t>Пратња или транспорт клијента</t>
  </si>
  <si>
    <t>96197-00</t>
  </si>
  <si>
    <t>Интрамускуларно давање фармаколошког средства, антинеопластично средство</t>
  </si>
  <si>
    <t>96197-02</t>
  </si>
  <si>
    <t>Интрамускуларно давање фармаколошког средства, анти-инфективно средство</t>
  </si>
  <si>
    <t>96197-03</t>
  </si>
  <si>
    <t>Интрамускуларно давање фармаколошког средства, стероид</t>
  </si>
  <si>
    <t>96197-09</t>
  </si>
  <si>
    <t>Интрамускуларно давање фармаколошког средства, друго и неназначено средство</t>
  </si>
  <si>
    <t>96199-02</t>
  </si>
  <si>
    <t>Интравенско давање фармаколошког средства, анти-инфективно средство</t>
  </si>
  <si>
    <t>96199-03</t>
  </si>
  <si>
    <t>Интравенско давање фармаколошког средства, стероид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</si>
  <si>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</si>
  <si>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</si>
  <si>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</si>
  <si>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</si>
  <si>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</si>
  <si>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</si>
  <si>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96200-01</t>
  </si>
  <si>
    <t>Субкутано давање фармаколошког средства, тромболитичко средство</t>
  </si>
  <si>
    <t>96203-02</t>
  </si>
  <si>
    <t>Орално давање фармаколошког средства, анти-инфективно средство</t>
  </si>
  <si>
    <t>ДИЈАГНОСТИЧКЕ УСЛУГЕ УРОЛОГИЈА</t>
  </si>
  <si>
    <t xml:space="preserve">11713-00 </t>
  </si>
  <si>
    <t>Снимање просечног сигнала ЕКГ-а</t>
  </si>
  <si>
    <t xml:space="preserve">13839-00 </t>
  </si>
  <si>
    <t>Вађење крви у дијагностичке сврхе</t>
  </si>
  <si>
    <t>30663-00</t>
  </si>
  <si>
    <t>контрола крварења након циркумцизије</t>
  </si>
  <si>
    <t>32171-00</t>
  </si>
  <si>
    <t>Аноректални преглед</t>
  </si>
  <si>
    <t>55038-00</t>
  </si>
  <si>
    <t>Ултразвучни преглед уринарног система</t>
  </si>
  <si>
    <t>55048-00</t>
  </si>
  <si>
    <t>ултра звук скротума</t>
  </si>
  <si>
    <t>55084-00</t>
  </si>
  <si>
    <t>Ултразвучни преглед бешике</t>
  </si>
  <si>
    <t>58715-01</t>
  </si>
  <si>
    <t>Ретроградна пиjелографија</t>
  </si>
  <si>
    <t>58718-00</t>
  </si>
  <si>
    <t>Ретроградна цистографија</t>
  </si>
  <si>
    <t>L000034</t>
  </si>
  <si>
    <t>Узроковање других биолошких материјала у лабораторији</t>
  </si>
  <si>
    <t>L010421</t>
  </si>
  <si>
    <t>Мерење запремине 24 часа урина, дневног урина</t>
  </si>
  <si>
    <t>L020404</t>
  </si>
  <si>
    <t>Узимање биолошког материјала за микробиолошки преглед</t>
  </si>
  <si>
    <t>ДНЕВНА БОЛНИЦА УРОЛОГИЈА</t>
  </si>
  <si>
    <t>OПЕРАЦИЈЕ УРОЛОГИЈА ДБ</t>
  </si>
  <si>
    <t>ИНТЕРВЕНЦИЈЕ УРОЛОГИЈА ДБ</t>
  </si>
  <si>
    <t>ТЕРАПИЈСКЕ УСЛУГЕ УРОЛОГИЈА ДБ</t>
  </si>
  <si>
    <t>ДИЈАГНОСТИЧКЕ УСЛУГЕ УРОЛОГИЈА ДБ</t>
  </si>
  <si>
    <t>Хируршко одељење и хируршка амбуланта</t>
  </si>
  <si>
    <t>ОПЕРАЦИЈЕ ХИРУРГИЈА</t>
  </si>
  <si>
    <t>Ексцизија дебриман меког ткива</t>
  </si>
  <si>
    <t>30075-00</t>
  </si>
  <si>
    <t xml:space="preserve">Биопсија лимфног чвора </t>
  </si>
  <si>
    <t>30329-00</t>
  </si>
  <si>
    <t xml:space="preserve">Ексцизија лимфног чвора препоне </t>
  </si>
  <si>
    <t>30373-00</t>
  </si>
  <si>
    <t>Експлоративна лапаротомија</t>
  </si>
  <si>
    <t>30375-00</t>
  </si>
  <si>
    <t xml:space="preserve">Цекостома </t>
  </si>
  <si>
    <t>30375-03</t>
  </si>
  <si>
    <t xml:space="preserve">Ентеротомија танког црева </t>
  </si>
  <si>
    <t>30375-06</t>
  </si>
  <si>
    <t xml:space="preserve">Гастротомија </t>
  </si>
  <si>
    <t>30375-10</t>
  </si>
  <si>
    <t xml:space="preserve">Шав перфорираног улкуса </t>
  </si>
  <si>
    <t>30375-17</t>
  </si>
  <si>
    <t>Редукција волвулуса дебелог црева</t>
  </si>
  <si>
    <t>30375-24</t>
  </si>
  <si>
    <t xml:space="preserve">Шав танког црева </t>
  </si>
  <si>
    <t>30375-25</t>
  </si>
  <si>
    <t xml:space="preserve">Шав лацерације дебелог црева </t>
  </si>
  <si>
    <t>30375-28</t>
  </si>
  <si>
    <t xml:space="preserve">Привремена колостома </t>
  </si>
  <si>
    <t>30375-29</t>
  </si>
  <si>
    <t>Privremena ileostoma</t>
  </si>
  <si>
    <t>30378-00</t>
  </si>
  <si>
    <t xml:space="preserve">Одвајање абдоминалних прираслица </t>
  </si>
  <si>
    <t>30390-00</t>
  </si>
  <si>
    <t>Лапараскопија</t>
  </si>
  <si>
    <t>30394-00</t>
  </si>
  <si>
    <t xml:space="preserve">Дренажа интра-абдоминалног апсцеса, хематома или цисте </t>
  </si>
  <si>
    <t>30396-00</t>
  </si>
  <si>
    <t>Дебридман и лаважа перитонеалне шупљине</t>
  </si>
  <si>
    <t>30403-00</t>
  </si>
  <si>
    <t xml:space="preserve">Репарација инцизионе киле, без мрежице </t>
  </si>
  <si>
    <t>30403-03</t>
  </si>
  <si>
    <t xml:space="preserve">Поновно затварање постоперативне дисрупције трбушног зида </t>
  </si>
  <si>
    <t>30405-01</t>
  </si>
  <si>
    <t xml:space="preserve">Репарација инцизионе киле, мрежицом </t>
  </si>
  <si>
    <t>30405-02</t>
  </si>
  <si>
    <t xml:space="preserve">Репарација инцизионе киле са ресекцијом странгулисаних вијуга црева </t>
  </si>
  <si>
    <t xml:space="preserve">30405-05 </t>
  </si>
  <si>
    <t>Репарација осталих кила трбушног зида са ресекцијом странгулираних вијуга црева</t>
  </si>
  <si>
    <t>30406-00</t>
  </si>
  <si>
    <t>Абдоминоцентеза</t>
  </si>
  <si>
    <t>30443-00</t>
  </si>
  <si>
    <t xml:space="preserve">Холецистектомија </t>
  </si>
  <si>
    <t>30445-00</t>
  </si>
  <si>
    <t>Лапараскопска холецистектомија</t>
  </si>
  <si>
    <t>30446-00</t>
  </si>
  <si>
    <t>Лапараскопска холецистектомија која претходи отвореној холецистектомији</t>
  </si>
  <si>
    <t>30454-01</t>
  </si>
  <si>
    <t xml:space="preserve">Холецистектомија са холедохотомијом </t>
  </si>
  <si>
    <t>30460-03</t>
  </si>
  <si>
    <t xml:space="preserve">Холедоходуоденостомија </t>
  </si>
  <si>
    <t>30460-04</t>
  </si>
  <si>
    <t xml:space="preserve">Холедохојејуностомија </t>
  </si>
  <si>
    <t>30460-08</t>
  </si>
  <si>
    <t xml:space="preserve">Билодигестивни бајпас помоћу Roux-en-Y вијуге </t>
  </si>
  <si>
    <t>30515-00</t>
  </si>
  <si>
    <t xml:space="preserve">Гастро-ентеростомија </t>
  </si>
  <si>
    <t>30515-02</t>
  </si>
  <si>
    <t>30562-00</t>
  </si>
  <si>
    <t xml:space="preserve">Затварање биполарне илеостоме </t>
  </si>
  <si>
    <t>30562-01</t>
  </si>
  <si>
    <t xml:space="preserve">Затварање илеостоме са успостављањем континуитета црева, без ресекције </t>
  </si>
  <si>
    <t>30563-00</t>
  </si>
  <si>
    <t>Ревизија стоме танког црева</t>
  </si>
  <si>
    <t>30563-02</t>
  </si>
  <si>
    <t>Репарација парастомалне киле</t>
  </si>
  <si>
    <t>30565-00</t>
  </si>
  <si>
    <t xml:space="preserve">Ресекција танког црева са формирањем стоме </t>
  </si>
  <si>
    <t>30566-00</t>
  </si>
  <si>
    <t xml:space="preserve">Ресекција танког црева са анастомозом </t>
  </si>
  <si>
    <t>30571-00</t>
  </si>
  <si>
    <t xml:space="preserve">Апендектомија </t>
  </si>
  <si>
    <t>30597-00</t>
  </si>
  <si>
    <t xml:space="preserve">Спленектомија </t>
  </si>
  <si>
    <t>30614-00</t>
  </si>
  <si>
    <t xml:space="preserve">Репарација феморалне херније, једнострано </t>
  </si>
  <si>
    <t xml:space="preserve">Репарација ингвиналне херније, једнострано </t>
  </si>
  <si>
    <t>30614-03</t>
  </si>
  <si>
    <t xml:space="preserve">Репарација ингвиналне херније, обострано </t>
  </si>
  <si>
    <t>30615-00</t>
  </si>
  <si>
    <t>Репарација инкарцериране, странгулисане и обструктивне херније</t>
  </si>
  <si>
    <t>30617-00</t>
  </si>
  <si>
    <t xml:space="preserve">Репарација умбиликалне херније </t>
  </si>
  <si>
    <t>30617-01</t>
  </si>
  <si>
    <t xml:space="preserve">Репарација епигастричне херније </t>
  </si>
  <si>
    <t>30617-02</t>
  </si>
  <si>
    <t xml:space="preserve">Репарација херније беле линије </t>
  </si>
  <si>
    <t>30676-01</t>
  </si>
  <si>
    <t xml:space="preserve">Ексцизија пилонидалног синуса или цисте </t>
  </si>
  <si>
    <t>31500-00</t>
  </si>
  <si>
    <t xml:space="preserve">Ексцизија лезија на дојкама </t>
  </si>
  <si>
    <t>31518-00</t>
  </si>
  <si>
    <t xml:space="preserve">Једноставна мастектомија, једнострана </t>
  </si>
  <si>
    <t>31551-00</t>
  </si>
  <si>
    <t xml:space="preserve">Инцизија и дренажа дојке </t>
  </si>
  <si>
    <t>32000-00</t>
  </si>
  <si>
    <t xml:space="preserve">Парцијална ресекција дебелог црева са формирањем стоме </t>
  </si>
  <si>
    <t>32003-01</t>
  </si>
  <si>
    <t xml:space="preserve">Десна хемиколектомија са анастомозом </t>
  </si>
  <si>
    <t>32006-00</t>
  </si>
  <si>
    <t xml:space="preserve">Лева хемиколектомија са анастомозом </t>
  </si>
  <si>
    <t>32030-00</t>
  </si>
  <si>
    <t xml:space="preserve">Ресекција ректума и/или сигме уз формирање терминалне колостоме </t>
  </si>
  <si>
    <t>32033-00</t>
  </si>
  <si>
    <t xml:space="preserve">Успостављање континуитета црева након Хартманове (Hartmann) операције </t>
  </si>
  <si>
    <t>32039-00</t>
  </si>
  <si>
    <t>Абдоминоперинеална ресекција ректума</t>
  </si>
  <si>
    <t>32138-00</t>
  </si>
  <si>
    <t>Хемороидектомија</t>
  </si>
  <si>
    <t xml:space="preserve">32159-00 </t>
  </si>
  <si>
    <t>Ексцизија аналне фистуле - фистулектомија</t>
  </si>
  <si>
    <t>32159-01</t>
  </si>
  <si>
    <t xml:space="preserve">Уградња сетона за ниске аналне фистуле </t>
  </si>
  <si>
    <t>32174-01</t>
  </si>
  <si>
    <t xml:space="preserve">Дренажа перианалног апсцеса </t>
  </si>
  <si>
    <t>33518-00</t>
  </si>
  <si>
    <t>38806-00</t>
  </si>
  <si>
    <t>Пласирање дрена кроз међуребарни простор</t>
  </si>
  <si>
    <t>44338-00</t>
  </si>
  <si>
    <t xml:space="preserve">Ампутација прста на нози </t>
  </si>
  <si>
    <t xml:space="preserve">44364-01 </t>
  </si>
  <si>
    <t>Трансметатарзална ампутација</t>
  </si>
  <si>
    <t>44367-00</t>
  </si>
  <si>
    <t xml:space="preserve">Ампутација изнад линије колена </t>
  </si>
  <si>
    <t>44367-02</t>
  </si>
  <si>
    <t xml:space="preserve">Ампутација испод колена </t>
  </si>
  <si>
    <t>45542-00</t>
  </si>
  <si>
    <t>Уклањање ткивног експандера дојке и инсерција перманентне протезе</t>
  </si>
  <si>
    <t>90720-00</t>
  </si>
  <si>
    <t>Остале процедуре на дојкама</t>
  </si>
  <si>
    <t>92208-00</t>
  </si>
  <si>
    <t>Ниска ресекција ректума</t>
  </si>
  <si>
    <t>ИНТЕРВЕНЦИЈЕ ХИРУРГИЈА</t>
  </si>
  <si>
    <t>30026-00</t>
  </si>
  <si>
    <t xml:space="preserve">Репарација ране на кожи и поткожном ткиву осталих области, површинска </t>
  </si>
  <si>
    <t>30061-00</t>
  </si>
  <si>
    <t>Отклањање страног тела из поткожног ткива  без инцизије</t>
  </si>
  <si>
    <t>30064-00</t>
  </si>
  <si>
    <t xml:space="preserve">Уклањање страног тела из коже и поткожног ткива инцизијом </t>
  </si>
  <si>
    <t xml:space="preserve">Биопсија коже и поткожног ткива </t>
  </si>
  <si>
    <t>30189-01</t>
  </si>
  <si>
    <t>Уклањање осталих брадавица</t>
  </si>
  <si>
    <t>30216-00</t>
  </si>
  <si>
    <t>Аспирација хематома из коже и поткожног ткива</t>
  </si>
  <si>
    <t>30216-01</t>
  </si>
  <si>
    <t>Аспирација апсцеса из коже и поткожног ткива</t>
  </si>
  <si>
    <t>30216-02</t>
  </si>
  <si>
    <t>Остале аспирације из коже о поткожног ткива</t>
  </si>
  <si>
    <t>30223-00</t>
  </si>
  <si>
    <t xml:space="preserve">Инцизија и дренажа хематома коже и поткожног ткива </t>
  </si>
  <si>
    <t>30223-01</t>
  </si>
  <si>
    <t xml:space="preserve">Инцизија и дренажа апсцеса коже и поткожног ткива </t>
  </si>
  <si>
    <t>30223-02</t>
  </si>
  <si>
    <t>Остале инцизије и дренаже коже и поткожног ткива</t>
  </si>
  <si>
    <t>31205-00</t>
  </si>
  <si>
    <t xml:space="preserve">Ексцизија лезије(а) на кожи и поткожном ткиву осталих области </t>
  </si>
  <si>
    <t>31230-03</t>
  </si>
  <si>
    <t>Ексцизија лезије на кожи и поткожном ткиву усне</t>
  </si>
  <si>
    <t>31235-00</t>
  </si>
  <si>
    <t>Ексцизија лезије(а) на кожи и поткожном ткиву осталих области на глави</t>
  </si>
  <si>
    <t>31235-01</t>
  </si>
  <si>
    <t xml:space="preserve">Ексцизија лезије(а) на кожи и поткожном ткиву врата </t>
  </si>
  <si>
    <t>31235-02</t>
  </si>
  <si>
    <t>Ексцизија лезије(а) на кожи и поткожном ткиву шаке</t>
  </si>
  <si>
    <t>31235-03</t>
  </si>
  <si>
    <t>Ексцизија лезије(а) на кожи и поткожном ткиву ноге</t>
  </si>
  <si>
    <t>31350-00</t>
  </si>
  <si>
    <t xml:space="preserve">Ексцизија лезије меког ткива, некласификована на другом месту </t>
  </si>
  <si>
    <t>41677-00</t>
  </si>
  <si>
    <t>Тампонада епистаксе антериорно</t>
  </si>
  <si>
    <t xml:space="preserve">46465-00 </t>
  </si>
  <si>
    <t>Ампутација прста</t>
  </si>
  <si>
    <t>46516-01</t>
  </si>
  <si>
    <t>Уклањање нокта на прсту шаке</t>
  </si>
  <si>
    <t>47009-00</t>
  </si>
  <si>
    <t>Затворена репозиција исчашења рамена</t>
  </si>
  <si>
    <t>47360-00</t>
  </si>
  <si>
    <t>Имобилизација прелома радијуса</t>
  </si>
  <si>
    <t>47363-00</t>
  </si>
  <si>
    <t xml:space="preserve">Затворена репозиција прелома радијуса </t>
  </si>
  <si>
    <t>47906-01</t>
  </si>
  <si>
    <t xml:space="preserve">Уклањање нокта на прсту стопала </t>
  </si>
  <si>
    <t>47915-00</t>
  </si>
  <si>
    <t xml:space="preserve">Клинаста ресекција ураслог нокта на прсту стопала </t>
  </si>
  <si>
    <t>90545-00</t>
  </si>
  <si>
    <t>Инцизија меких ткива шаке</t>
  </si>
  <si>
    <t>92071-00</t>
  </si>
  <si>
    <t>Мануелна редукција херније</t>
  </si>
  <si>
    <t>92076-00</t>
  </si>
  <si>
    <t>Уклањање импактираног фецеса</t>
  </si>
  <si>
    <t>92090-00</t>
  </si>
  <si>
    <t>Уклањање страног тела из ректума или ануса без инцизије</t>
  </si>
  <si>
    <t>92097-00</t>
  </si>
  <si>
    <t>Уклањање Т-дрена, осталих дренова из билијарних канала или јетре</t>
  </si>
  <si>
    <t>Уклањање шавова, некласификованих на другом месту</t>
  </si>
  <si>
    <t>ТЕРАПИЈСКЕ УСЛУГЕ ХИРУРГИЈА</t>
  </si>
  <si>
    <t>11600-03</t>
  </si>
  <si>
    <t>Праћење системског артеријског крвног притиска</t>
  </si>
  <si>
    <t xml:space="preserve">30014-00 </t>
  </si>
  <si>
    <t>Превијање опекотине, 10% и више посто површине тела је превијено</t>
  </si>
  <si>
    <t>30017-01</t>
  </si>
  <si>
    <t>Обрада опекотине са ексцизијом, мање од 10% површине тела је обрађено или ексцидирано</t>
  </si>
  <si>
    <t>30020-00</t>
  </si>
  <si>
    <t>Обрада опекотине са ексцизијом, 10% и више површине тела је обрађено или ексцидирано</t>
  </si>
  <si>
    <t>Уклањањењ сталног уринарнорног катетера</t>
  </si>
  <si>
    <t>47540-01</t>
  </si>
  <si>
    <t>Примена завоја рамена</t>
  </si>
  <si>
    <t xml:space="preserve">92065-00 </t>
  </si>
  <si>
    <t>Тампонада ректума</t>
  </si>
  <si>
    <t>92066-00</t>
  </si>
  <si>
    <t>Пласирање цеви у ректум</t>
  </si>
  <si>
    <t>92067-00</t>
  </si>
  <si>
    <t>Дилатација ентеростоме</t>
  </si>
  <si>
    <t xml:space="preserve">92077-00 </t>
  </si>
  <si>
    <t>Остала испирања ректума</t>
  </si>
  <si>
    <t>92162-00</t>
  </si>
  <si>
    <t>Примена тетанусног антитоксина</t>
  </si>
  <si>
    <t>Инфилтрација локалног анестетика, АСА 10</t>
  </si>
  <si>
    <t>Инфилтрација локалног анестетика, АСА 19</t>
  </si>
  <si>
    <t>96072-00</t>
  </si>
  <si>
    <t>Саветовање или обучавање о прописаним лековима</t>
  </si>
  <si>
    <t xml:space="preserve">96072-00 </t>
  </si>
  <si>
    <t xml:space="preserve"> Саветовање или подучавање о прописаним/самоизабраним лековима</t>
  </si>
  <si>
    <t>96075-00</t>
  </si>
  <si>
    <t>Саветовање или подучавање о бризи о самом себи</t>
  </si>
  <si>
    <t xml:space="preserve">96076-00 </t>
  </si>
  <si>
    <t xml:space="preserve">Саветовање или подучавање о одржавању здравља и опоравку </t>
  </si>
  <si>
    <t>96091-00</t>
  </si>
  <si>
    <t>Израда уређаја или опреме за помоћ и прилагођавање</t>
  </si>
  <si>
    <t>Интрамускуларно давање фармаколошког средства, друго и неназначено фармаколошко средство</t>
  </si>
  <si>
    <t>Интравенско давање фарамаколошког средства, анти-инфективно средство</t>
  </si>
  <si>
    <t>Интравенско давање фарамаколошког средства, хранљива супстанца</t>
  </si>
  <si>
    <t>96203-08</t>
  </si>
  <si>
    <t>Орално давање фармаколошког средства, електролит</t>
  </si>
  <si>
    <t>96203-09</t>
  </si>
  <si>
    <t>Орално давање фармаколошког средства анти</t>
  </si>
  <si>
    <t>Л010421</t>
  </si>
  <si>
    <t>Мерење запремине 24 часа урина</t>
  </si>
  <si>
    <t>ДИЈАГНОСТИЧКЕ УСЛУГЕ ХИРУРГИЈА</t>
  </si>
  <si>
    <t>30473-00</t>
  </si>
  <si>
    <t>Панендоскопија до дуоденума</t>
  </si>
  <si>
    <t>30473-01</t>
  </si>
  <si>
    <t>Панендоскопија до дуоденума са биопсијом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</si>
  <si>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</si>
  <si>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</si>
  <si>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</si>
  <si>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</si>
  <si>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ДНЕВНА БОЛНИЦА ХИРУРГИЈА</t>
  </si>
  <si>
    <t>ОПЕРАЦИЈЕ ХИРУРГИЈА ДБ</t>
  </si>
  <si>
    <t>ИНТЕРВЕНЦИЈЕ ХИРУРГИЈА ДБ</t>
  </si>
  <si>
    <t>ТЕРАПИЈСКЕ УСЛУГЕ ХИРУРГИЈА ДБ</t>
  </si>
  <si>
    <t>ДИЈАГНОСТИЧКЕ УСЛУГЕ ХИРУРГИЈА ДБ</t>
  </si>
  <si>
    <t>Ортопедска амбуланта и ортопедско одељење</t>
  </si>
  <si>
    <t>ОПЕРАЦИЈЕ ОРТОПЕДИЈА</t>
  </si>
  <si>
    <t xml:space="preserve">30023-00 </t>
  </si>
  <si>
    <t>Ексцизијски дебридман меког ткива</t>
  </si>
  <si>
    <t>Биопсција коже и поткожног ткива</t>
  </si>
  <si>
    <t>30114-00</t>
  </si>
  <si>
    <t>Ексцизија Бекерове цисте</t>
  </si>
  <si>
    <t>30223-03</t>
  </si>
  <si>
    <t>Инцизија и дренажа апсцеса меког ткива</t>
  </si>
  <si>
    <t xml:space="preserve">44358-00 </t>
  </si>
  <si>
    <t>Ампутација прста на нози са метатарзалном кости</t>
  </si>
  <si>
    <t xml:space="preserve">44364-00 </t>
  </si>
  <si>
    <t>Медиотарзална ампутација</t>
  </si>
  <si>
    <t>Ампутација изнад линије колена</t>
  </si>
  <si>
    <t>46483-00</t>
  </si>
  <si>
    <t xml:space="preserve">Ревизија ампутационог партљка </t>
  </si>
  <si>
    <t>47066-01</t>
  </si>
  <si>
    <t>Отворена репозиција ишчашења скочног зглоба са унутрашњом фиксацијом</t>
  </si>
  <si>
    <t>47366-00</t>
  </si>
  <si>
    <t>Отворена репозиција прелома дисталног дела радијуса</t>
  </si>
  <si>
    <t>47366-01</t>
  </si>
  <si>
    <t>Отворена репозиција прелома дисталног дела улне</t>
  </si>
  <si>
    <t>47384-00</t>
  </si>
  <si>
    <t>Отворена репозиција прелома тела радијуса</t>
  </si>
  <si>
    <t>47384-01</t>
  </si>
  <si>
    <t>Отворена репозиција прелома тела улне</t>
  </si>
  <si>
    <t>47384-03</t>
  </si>
  <si>
    <t>Отворена репозиција прелома тела улне са унутрашњом фиксацијом</t>
  </si>
  <si>
    <t>47399-01</t>
  </si>
  <si>
    <t>Отворена репозиција прелома олекранона са унутрашњом фиксацијом</t>
  </si>
  <si>
    <t>47429-01</t>
  </si>
  <si>
    <t>Отворена репозиција прелома проксималног дела хумеруса са унутрашњом фиксацијом</t>
  </si>
  <si>
    <t>47465-01</t>
  </si>
  <si>
    <t>Отворена репозиција прелома кључне кости са унутрашњом фиксацијом</t>
  </si>
  <si>
    <t>47522-00</t>
  </si>
  <si>
    <t>Хемиартропластика кука униполарном ендопротезом</t>
  </si>
  <si>
    <t>47528-00</t>
  </si>
  <si>
    <t>Отворена репозиција прелома фемура</t>
  </si>
  <si>
    <t>47534-00</t>
  </si>
  <si>
    <t>Отворена репозиција и унутрашња фиксација зглобног прелома кондила фемура</t>
  </si>
  <si>
    <t>47537-00</t>
  </si>
  <si>
    <t>Отворена репозиција и унутрашња фиксација прелома кондила фемура</t>
  </si>
  <si>
    <t>47549-00</t>
  </si>
  <si>
    <t>Отворена репозиција прелома медијалног или латералног кондила тибије</t>
  </si>
  <si>
    <t>47558-00</t>
  </si>
  <si>
    <t>Отворена репозиција прелома медијалног и латералног кондила тибије</t>
  </si>
  <si>
    <t>47566-01</t>
  </si>
  <si>
    <t>Отворена репозиција прелома тела тибије са унутрашњом фиксацијом</t>
  </si>
  <si>
    <t>47566-03</t>
  </si>
  <si>
    <t>Отворена репозиција зглобног прелома тела тибије са унутрашњом фиксацијом</t>
  </si>
  <si>
    <t>47566-05</t>
  </si>
  <si>
    <t>Отворена репозиција фрактуре фибуле са унутрашњом фиксацијом</t>
  </si>
  <si>
    <t>47582-00</t>
  </si>
  <si>
    <t>Пателектомија са реконструкцијом екстензорног механизма</t>
  </si>
  <si>
    <t>47585-00</t>
  </si>
  <si>
    <t>Отворена репозиција и унутрашња фиксација прелома пателе</t>
  </si>
  <si>
    <t>47600-01</t>
  </si>
  <si>
    <t>Отворена репозиција прелома скочног зглоба са унутрашњом фиксацијом синдесмозе, фибуле или малеолуса</t>
  </si>
  <si>
    <t>47912-00</t>
  </si>
  <si>
    <t>Артродезе скочног зглоба</t>
  </si>
  <si>
    <t>47927-00</t>
  </si>
  <si>
    <t>Одстрањење клина, завртња или жице, некласификовано на другом месту</t>
  </si>
  <si>
    <t>47927-01</t>
  </si>
  <si>
    <t>Одстрањење клина, завртња или жице из кости</t>
  </si>
  <si>
    <t>47930-01</t>
  </si>
  <si>
    <t>Одстрањење плоче или интрамедуларног клина из кости</t>
  </si>
  <si>
    <t xml:space="preserve">47936-00 </t>
  </si>
  <si>
    <t>Аблација егзостозе велике кости</t>
  </si>
  <si>
    <t>48945-00</t>
  </si>
  <si>
    <t>Артроскопија рамена</t>
  </si>
  <si>
    <t>48948-00</t>
  </si>
  <si>
    <t>Артроскопски дебриман рамена</t>
  </si>
  <si>
    <t>48948-01</t>
  </si>
  <si>
    <t>Артроскопско одстрањење слободних тела у рамену</t>
  </si>
  <si>
    <t>48957-00</t>
  </si>
  <si>
    <t>Артроскопска стабилизација рамена</t>
  </si>
  <si>
    <t>49315-00</t>
  </si>
  <si>
    <t>Хемиартропластика зглоба кука биполарном ендопротезом</t>
  </si>
  <si>
    <t>49318-00</t>
  </si>
  <si>
    <t>Потпуна артропластика зглоба кука, једнострана</t>
  </si>
  <si>
    <t>49324-00</t>
  </si>
  <si>
    <t>Ревизија потпуне артропластике кука</t>
  </si>
  <si>
    <t>49346-00</t>
  </si>
  <si>
    <t xml:space="preserve">Ревизија хемиартропластике кука </t>
  </si>
  <si>
    <t>49503-00</t>
  </si>
  <si>
    <t>Менесектомија згкоба колена</t>
  </si>
  <si>
    <t>49518-00</t>
  </si>
  <si>
    <t>Потпуна артропластика колена</t>
  </si>
  <si>
    <t>49542-00</t>
  </si>
  <si>
    <t>Артроскопска реконструкција лигамента колена</t>
  </si>
  <si>
    <t>49557-00</t>
  </si>
  <si>
    <t>Артроскопија колена</t>
  </si>
  <si>
    <t>49560-00</t>
  </si>
  <si>
    <t>Артроскопско одстрањење слободних тела из колена</t>
  </si>
  <si>
    <t>49560-01</t>
  </si>
  <si>
    <t>Артроскопска обрада лигамента колена</t>
  </si>
  <si>
    <t>49560-03</t>
  </si>
  <si>
    <t>Артроскопска менисектомија лигамента колена</t>
  </si>
  <si>
    <t>49563-00</t>
  </si>
  <si>
    <t>Артроскопска репарација менискуса колена</t>
  </si>
  <si>
    <t>49566-00</t>
  </si>
  <si>
    <t>Артроскопска синовијектомија зглоба колена</t>
  </si>
  <si>
    <t xml:space="preserve">49569-00 </t>
  </si>
  <si>
    <t>Квадрицепспластика колена</t>
  </si>
  <si>
    <t>49718-01</t>
  </si>
  <si>
    <t>Репарација Ахилове тетиве</t>
  </si>
  <si>
    <t xml:space="preserve">49724-01 </t>
  </si>
  <si>
    <t>Реконструкција Ахилове тетиве</t>
  </si>
  <si>
    <t>49821-00</t>
  </si>
  <si>
    <t>Исправљање Халус Валгус - једнострано</t>
  </si>
  <si>
    <t>50303-00</t>
  </si>
  <si>
    <t>Продужење екстремитета</t>
  </si>
  <si>
    <t xml:space="preserve">90568-01 </t>
  </si>
  <si>
    <t>Инцизија бурзе, некласификована на другом месту</t>
  </si>
  <si>
    <t xml:space="preserve">90580-00 </t>
  </si>
  <si>
    <t>Дебридман места отвореног прелома</t>
  </si>
  <si>
    <t>90582-00</t>
  </si>
  <si>
    <t>Ушивање лигамента, некласификовано на другом месту</t>
  </si>
  <si>
    <t xml:space="preserve">90598-00 </t>
  </si>
  <si>
    <t>Остале репарације колена</t>
  </si>
  <si>
    <t>ИНТЕРВЕНЦИЈЕ ОРТОПЕДИЈА</t>
  </si>
  <si>
    <t>Уклањање страног тела из коже и поткожног ткива без инцизије</t>
  </si>
  <si>
    <t>46420-00</t>
  </si>
  <si>
    <t>Примарна репарација тетиве екстензора шаке</t>
  </si>
  <si>
    <t>46465-00</t>
  </si>
  <si>
    <t>Ампутација прста на нози</t>
  </si>
  <si>
    <t>47003-00</t>
  </si>
  <si>
    <t>Затворена репозиција исчашења кључне кости</t>
  </si>
  <si>
    <t>Затворена репозиција ишчашења рамена</t>
  </si>
  <si>
    <t>47018-00</t>
  </si>
  <si>
    <t>Затворена репозиција ишчашења лакта са спољашњом фиксацијом</t>
  </si>
  <si>
    <t>47024-00</t>
  </si>
  <si>
    <t>Затворена репозиција ишчашења проксималног радио-улнарног зглоба</t>
  </si>
  <si>
    <t>47036-00</t>
  </si>
  <si>
    <t>затворна репозиција прста шаке</t>
  </si>
  <si>
    <t>47048-00</t>
  </si>
  <si>
    <t>Затворена репозиција ишчашења зглоба кука</t>
  </si>
  <si>
    <t>47054-00</t>
  </si>
  <si>
    <t>Затворена репозиција ишчашења зглоба колена</t>
  </si>
  <si>
    <t>47057-00</t>
  </si>
  <si>
    <t>затворена репозиција пателе</t>
  </si>
  <si>
    <t>47063-00</t>
  </si>
  <si>
    <t>Затворена репозиција ишчашења скочног зглоба</t>
  </si>
  <si>
    <t>47069-00</t>
  </si>
  <si>
    <t>Затворена репозиција ишчашења прста на нози</t>
  </si>
  <si>
    <t>47300-00</t>
  </si>
  <si>
    <t>затворена репозиција прелома прста шаке</t>
  </si>
  <si>
    <t>47324-00</t>
  </si>
  <si>
    <t>Затворена репозиција прелома проксималног чланка прста на руци</t>
  </si>
  <si>
    <t>Имобилизација прелома дисталног дела радијуса</t>
  </si>
  <si>
    <t>47360-01</t>
  </si>
  <si>
    <t>Имобилизација прелома дисталног дела улне</t>
  </si>
  <si>
    <t>Затворена репозиција прелома дисталног дела радијуса</t>
  </si>
  <si>
    <t>47363-02</t>
  </si>
  <si>
    <t>Затворена репозиција прелома дисталног дела радијуса са унутрашњом фиксацијом</t>
  </si>
  <si>
    <t>47363-03</t>
  </si>
  <si>
    <t>Затворена репозиција прелома дисталног дела улне са унутрашњом фиксацијом</t>
  </si>
  <si>
    <t>47378-00</t>
  </si>
  <si>
    <t>Имобилизација прелома тела радијуса</t>
  </si>
  <si>
    <t>47381-00</t>
  </si>
  <si>
    <t>Затворена репозиција прелома тела радијуса</t>
  </si>
  <si>
    <t>47381-01</t>
  </si>
  <si>
    <t>Затворена репозиција прелома тела улне</t>
  </si>
  <si>
    <t>47381-02</t>
  </si>
  <si>
    <t>Затворена репозиција прелома тела радијуса са унутрашњом фиксацијом</t>
  </si>
  <si>
    <t>47387-00</t>
  </si>
  <si>
    <t>Имобилизација прелома тела радијуса и улне</t>
  </si>
  <si>
    <t>47390-00</t>
  </si>
  <si>
    <t>Затворена репозиција прелома тела радијуса и улне</t>
  </si>
  <si>
    <t>47405-00</t>
  </si>
  <si>
    <t>Затворена репозиција прелома главе или врата радијуса</t>
  </si>
  <si>
    <t>47423-00</t>
  </si>
  <si>
    <t>Имобилизација прелома проксималног дела хумеруса</t>
  </si>
  <si>
    <t>47426-00</t>
  </si>
  <si>
    <t>Затворена репозиција прелома проксималног дела хумеруса</t>
  </si>
  <si>
    <t>47444-00</t>
  </si>
  <si>
    <t>Имобилизација прелома тела хумеруса</t>
  </si>
  <si>
    <t>47456-00</t>
  </si>
  <si>
    <t>Затворена репозиција прелома дисталног дела хумеруса</t>
  </si>
  <si>
    <t>47462-00</t>
  </si>
  <si>
    <t>Затворена репозиција прелома кључне кости</t>
  </si>
  <si>
    <t>47495-00</t>
  </si>
  <si>
    <t>Тракција због прелома ацетабулума</t>
  </si>
  <si>
    <t>47516-01</t>
  </si>
  <si>
    <t>Затворена репозиција прелома фемура</t>
  </si>
  <si>
    <t>47519-00</t>
  </si>
  <si>
    <t>Фиксација прелома трохантерног или субкапиталног дела фемура</t>
  </si>
  <si>
    <t>47543-00</t>
  </si>
  <si>
    <t>Имобилизација прелома медијалног или латералног кондила тибије</t>
  </si>
  <si>
    <t>47546-00</t>
  </si>
  <si>
    <t>Затворена репозиција прелома медијалног или латералног кондила тибије</t>
  </si>
  <si>
    <t>47555-00</t>
  </si>
  <si>
    <t>Затворена репозиција прелома медијалног и латералног кондила тибије</t>
  </si>
  <si>
    <t>47564-00</t>
  </si>
  <si>
    <t>Затворена репозиција прелома тела тибије</t>
  </si>
  <si>
    <t>47567-00</t>
  </si>
  <si>
    <t>Затворена репозиција унутарзглобног прелома тела тибије</t>
  </si>
  <si>
    <t>47576-00</t>
  </si>
  <si>
    <t>Имобилизација прелома фибуле</t>
  </si>
  <si>
    <t>47579-00</t>
  </si>
  <si>
    <t>Имобилизација прелома пателе</t>
  </si>
  <si>
    <t>47594-00</t>
  </si>
  <si>
    <t>Имобилизација прелома скочног зглоба, некласификовано на другом месту</t>
  </si>
  <si>
    <t>47597-00</t>
  </si>
  <si>
    <t>Затворена репозиција прелома скочног зглоба</t>
  </si>
  <si>
    <t>47603-00</t>
  </si>
  <si>
    <t>Затворена репозиција прелома скочног зглоба са унутрашњом фиксацијом ≥ 2 синдесмозе фибуле или малеолуса</t>
  </si>
  <si>
    <t>47606-00</t>
  </si>
  <si>
    <t>Имобилизација прелома петне кости</t>
  </si>
  <si>
    <t>47606-02</t>
  </si>
  <si>
    <t>Имобилизација прелома талуса</t>
  </si>
  <si>
    <t>47609-00</t>
  </si>
  <si>
    <t>Затворена репозиција прелома петне кости</t>
  </si>
  <si>
    <t>47609-02</t>
  </si>
  <si>
    <t>Затворена репозиција прелома талуса</t>
  </si>
  <si>
    <t>47627-00</t>
  </si>
  <si>
    <t>Имобилизација прелома тарзуса</t>
  </si>
  <si>
    <t>47633-00</t>
  </si>
  <si>
    <t>Имобилизација прелома метатарзуса</t>
  </si>
  <si>
    <t>47636-00</t>
  </si>
  <si>
    <t>Затворена репозиција прелома метатарзуса</t>
  </si>
  <si>
    <t>47663-00</t>
  </si>
  <si>
    <t>Затворена репозиција прелома чланка палца на нози</t>
  </si>
  <si>
    <t>47948-00</t>
  </si>
  <si>
    <t>Одстрањење средства за имобилизацију</t>
  </si>
  <si>
    <t>49721-00</t>
  </si>
  <si>
    <t>Имобилизација код повреда, обољења и стања Ахилове тетиве</t>
  </si>
  <si>
    <t>50124-00</t>
  </si>
  <si>
    <t>Аспирација зглоба или неке друге синовијске шупљине, није на другом месту класификована</t>
  </si>
  <si>
    <t>90531-00</t>
  </si>
  <si>
    <t>Тракција, некласификована на другом месту</t>
  </si>
  <si>
    <t>90665-00</t>
  </si>
  <si>
    <t>Обрада коже и поткожног ткива са ексцизијом</t>
  </si>
  <si>
    <t>90686-01</t>
  </si>
  <si>
    <t>Обрада коже и поткожног ткива без ексцизије</t>
  </si>
  <si>
    <t>ТЕРАПИЈСКЕ УСЛУГЕ ОРТОПЕДИЈА</t>
  </si>
  <si>
    <t>30010-00</t>
  </si>
  <si>
    <t>Превијање опекотине, мање од 10% површине тела</t>
  </si>
  <si>
    <t>50124-01</t>
  </si>
  <si>
    <t>Инјекција у зглоб или неку другу синовијску шупљину, није на другом месту класификована</t>
  </si>
  <si>
    <t>90560-00</t>
  </si>
  <si>
    <t>Инјекција другог средства у меко ткиво, некласификована на другом месту</t>
  </si>
  <si>
    <t xml:space="preserve"> Кардиопулмонална реанимација</t>
  </si>
  <si>
    <t xml:space="preserve">92162-00 </t>
  </si>
  <si>
    <t>Инфилтрација локалног анестетика АСА-10</t>
  </si>
  <si>
    <t>Инфилтрација локалног анестетика АСА -19</t>
  </si>
  <si>
    <t>Интрамускуларно давање фармаколошког средства, стероид средство</t>
  </si>
  <si>
    <t>Интрамускуларно давање фармаколошког средства, друго и неозначено средство</t>
  </si>
  <si>
    <t>Давање интравенског фармаколошког средства, анти-инфективно</t>
  </si>
  <si>
    <t>Давање интравенског фармаколошког средства, стероид</t>
  </si>
  <si>
    <t>Давање интравенског фармаколошког средства, хранљива супстанца</t>
  </si>
  <si>
    <t>Давање интравенског фармаколошког средства, електролит</t>
  </si>
  <si>
    <t>Давање интравенског фармаколошког средства, друго и некласификовано</t>
  </si>
  <si>
    <t>ДИЈАГНОСТИЧКЕ УСЛУГЕ ОРТОПЕДИЈА</t>
  </si>
  <si>
    <t>Праћење системског артеријског притиска</t>
  </si>
  <si>
    <t>Катетеризација мокраћне бешике кроз уретру</t>
  </si>
  <si>
    <t>Meрење запремине 24х-урина, дневног урина</t>
  </si>
  <si>
    <t>ДНЕВНА БОЛНИЦА ОРТОПЕДИЈА</t>
  </si>
  <si>
    <t>ОПЕРАЦИЈЕ ОРТОПЕДИЈА ДБ</t>
  </si>
  <si>
    <t>49503- 00</t>
  </si>
  <si>
    <t>ИНТЕРВЕНЦИЈЕ ОРТОПЕДИЈА ДБ</t>
  </si>
  <si>
    <t>ТЕРАПИЈСКЕ УСЛУГЕ ОРТОПЕДИЈА ДБ</t>
  </si>
  <si>
    <t>ДИЈАГНОСТИЧКЕ УСЛУГЕ ОРТОПЕДИЈА ДБ</t>
  </si>
  <si>
    <t>Гинеколошко одељење</t>
  </si>
  <si>
    <t>OПЕРАЦИЈЕ ГИНЕКОЛОГИЈА</t>
  </si>
  <si>
    <t xml:space="preserve">16511-00 </t>
  </si>
  <si>
    <t>Примена серклажа на грлић материце</t>
  </si>
  <si>
    <t>16512-00</t>
  </si>
  <si>
    <t>Скидање конца серклажа</t>
  </si>
  <si>
    <t xml:space="preserve">16520-00 </t>
  </si>
  <si>
    <t>Елективни класични царски рез</t>
  </si>
  <si>
    <t>16520-01</t>
  </si>
  <si>
    <t>Хитан класични царски рез</t>
  </si>
  <si>
    <t xml:space="preserve">16520-02 </t>
  </si>
  <si>
    <t>Елективни царски рез са резом на доњем сегменту материце</t>
  </si>
  <si>
    <t>16520-03</t>
  </si>
  <si>
    <t>Хитан царски рез на доњем сегменту материце</t>
  </si>
  <si>
    <t>Одвајање абдоминалних прираслица</t>
  </si>
  <si>
    <t xml:space="preserve">30385-00 </t>
  </si>
  <si>
    <t xml:space="preserve">Постоперативно поновно отварање места лапаротомије </t>
  </si>
  <si>
    <t xml:space="preserve">30394-00 </t>
  </si>
  <si>
    <t>Репарација задњег дела вагине, вагинални приступ</t>
  </si>
  <si>
    <t xml:space="preserve">35618-00 </t>
  </si>
  <si>
    <t>Конизација грлића материце</t>
  </si>
  <si>
    <t xml:space="preserve">35649-03 </t>
  </si>
  <si>
    <t>Миомектомија лапаротомијом</t>
  </si>
  <si>
    <t>35653-00</t>
  </si>
  <si>
    <t>Субтотална абдоминална хистеректомија</t>
  </si>
  <si>
    <t>35653-01</t>
  </si>
  <si>
    <t>Тотална класична абдоминална хистеректомија</t>
  </si>
  <si>
    <t>35653-04</t>
  </si>
  <si>
    <t>Класична хистеректомија са аднексектомијом</t>
  </si>
  <si>
    <t>35657-00</t>
  </si>
  <si>
    <t>Вагинална хистеректомија</t>
  </si>
  <si>
    <t xml:space="preserve">35677-05 </t>
  </si>
  <si>
    <t>Салпингектомија са уклањањем трудноће у јајоводу</t>
  </si>
  <si>
    <t>35684-01</t>
  </si>
  <si>
    <t>Суспензија материце (лапаротомија)</t>
  </si>
  <si>
    <t xml:space="preserve">35688-02 </t>
  </si>
  <si>
    <t>Стерилизација отвореним абдоминалним приступом</t>
  </si>
  <si>
    <t xml:space="preserve">35713-04 </t>
  </si>
  <si>
    <t>Оваријална цистектомија, једнострана</t>
  </si>
  <si>
    <t xml:space="preserve">35713-05 </t>
  </si>
  <si>
    <t>Клинаста ресекција јајника (лапаротомија)</t>
  </si>
  <si>
    <t>35713-09</t>
  </si>
  <si>
    <t>Салпингектомија, једнострана</t>
  </si>
  <si>
    <t xml:space="preserve">35713-11 </t>
  </si>
  <si>
    <t>Салпингоовариектомија, једнострана</t>
  </si>
  <si>
    <t xml:space="preserve">35726-01 </t>
  </si>
  <si>
    <t>Стејџинг лапаротомија због одређивања степена проширености болести</t>
  </si>
  <si>
    <t>90440-00</t>
  </si>
  <si>
    <t xml:space="preserve">Ексцизија лезија вулве </t>
  </si>
  <si>
    <t>МАЛЕ ИНТЕРВЕНЦИЈЕ ГИНЕКОЛОГИЈА</t>
  </si>
  <si>
    <t xml:space="preserve">16567-00 </t>
  </si>
  <si>
    <t xml:space="preserve">Остали поступци заустављања постпарталног крварења </t>
  </si>
  <si>
    <t xml:space="preserve">16571-00 </t>
  </si>
  <si>
    <t>Сутура руптуре грлића материце након порођаја</t>
  </si>
  <si>
    <t xml:space="preserve">16573-00 </t>
  </si>
  <si>
    <t>Сутура расцепа перинеума трећег или четвртог степена</t>
  </si>
  <si>
    <t xml:space="preserve">35503-00 </t>
  </si>
  <si>
    <r>
      <t>Убацивање интраутериног уређаја (</t>
    </r>
    <r>
      <rPr>
        <i/>
        <sz val="12"/>
        <rFont val="Times New Roman"/>
        <family val="1"/>
      </rPr>
      <t>IUD</t>
    </r>
    <r>
      <rPr>
        <sz val="12"/>
        <rFont val="Times New Roman"/>
        <family val="1"/>
      </rPr>
      <t>)</t>
    </r>
  </si>
  <si>
    <t xml:space="preserve">35506-02 </t>
  </si>
  <si>
    <t>Уклањање интраутериног уређаја</t>
  </si>
  <si>
    <t>35513-00</t>
  </si>
  <si>
    <t>Лечење цисте Бартолинијеве жлезде</t>
  </si>
  <si>
    <t xml:space="preserve">35520-00 </t>
  </si>
  <si>
    <t xml:space="preserve">Лечење апсцеса Бартолинијеве жлезде </t>
  </si>
  <si>
    <t>35539-03</t>
  </si>
  <si>
    <t>Биопсија вагине</t>
  </si>
  <si>
    <t>35608-00</t>
  </si>
  <si>
    <t>Каутеризација промена на грлићу материце</t>
  </si>
  <si>
    <t>Биопсија грлића материце</t>
  </si>
  <si>
    <t>35611-00</t>
  </si>
  <si>
    <t>Полипектомија грлића материце</t>
  </si>
  <si>
    <t>35618-03</t>
  </si>
  <si>
    <t>Остале процедуре на грлићу материце</t>
  </si>
  <si>
    <t xml:space="preserve">35640-00 </t>
  </si>
  <si>
    <t xml:space="preserve">Дилатација цервикалног канала и киретажа материце </t>
  </si>
  <si>
    <t>35643-03</t>
  </si>
  <si>
    <t xml:space="preserve">Дилатација и евакуација садржаја материце </t>
  </si>
  <si>
    <t xml:space="preserve">90438-00 </t>
  </si>
  <si>
    <t>Остале процедуре на вагини</t>
  </si>
  <si>
    <t>90439-00</t>
  </si>
  <si>
    <t>Остале деструкције лезија вулве</t>
  </si>
  <si>
    <t xml:space="preserve">90465-00 </t>
  </si>
  <si>
    <t>Индукција порођаја окситоцином</t>
  </si>
  <si>
    <t>90465-01</t>
  </si>
  <si>
    <t>Индукција порођаја простагландином</t>
  </si>
  <si>
    <t xml:space="preserve">90467-00 </t>
  </si>
  <si>
    <t>Спонтани порођај код теменог положаја</t>
  </si>
  <si>
    <t>90469-00</t>
  </si>
  <si>
    <t>Довршавање порођаја вакуум екстракцијом</t>
  </si>
  <si>
    <t>90469-01</t>
  </si>
  <si>
    <t>Неуспело завршавање порођаја вакуум екстракцијом</t>
  </si>
  <si>
    <t xml:space="preserve">90470-01 </t>
  </si>
  <si>
    <t>Карлични порођај уз ручну помоћ</t>
  </si>
  <si>
    <t>90472-00</t>
  </si>
  <si>
    <t>Епизиотомија</t>
  </si>
  <si>
    <t xml:space="preserve">90479-00 </t>
  </si>
  <si>
    <t>Сутура лацерације вагине након порођаја</t>
  </si>
  <si>
    <t xml:space="preserve">90481-00 </t>
  </si>
  <si>
    <t>Сутура повреда перинеума првог или другог степена</t>
  </si>
  <si>
    <t xml:space="preserve">90482-00 </t>
  </si>
  <si>
    <t>Мануелна екстракција постељице</t>
  </si>
  <si>
    <t xml:space="preserve">90483-00 </t>
  </si>
  <si>
    <t xml:space="preserve">Постпартална мануелна ревизија материчне шупљине </t>
  </si>
  <si>
    <t>ТЕРАПИЈСКЕ УСЛУГЕ ГИНЕКОЛОГИЈА</t>
  </si>
  <si>
    <t>13939-02</t>
  </si>
  <si>
    <t>Одржавање уређаја за васкуларни приступ</t>
  </si>
  <si>
    <t>Уклањање сталног уринарног катетера кроз уретру</t>
  </si>
  <si>
    <t>92025-00</t>
  </si>
  <si>
    <t>Испирање ока</t>
  </si>
  <si>
    <t>92058-01</t>
  </si>
  <si>
    <t xml:space="preserve">Одржавање катетера, пласираног ради администрације лека </t>
  </si>
  <si>
    <t>92077-00</t>
  </si>
  <si>
    <t xml:space="preserve">92103-00 </t>
  </si>
  <si>
    <t>Вагинално испирање</t>
  </si>
  <si>
    <t>92107-00</t>
  </si>
  <si>
    <t xml:space="preserve">Пласирање осталих вагиналних песара </t>
  </si>
  <si>
    <t xml:space="preserve">92110-00 </t>
  </si>
  <si>
    <t>Замена штрајфне или дрена вагине или вулве</t>
  </si>
  <si>
    <t>92145-00</t>
  </si>
  <si>
    <t>Вакцинација против туберкулозе</t>
  </si>
  <si>
    <t xml:space="preserve">92173-00 </t>
  </si>
  <si>
    <t>Пасивна имунизација са Rh(D) имуноглобулином</t>
  </si>
  <si>
    <t xml:space="preserve">92176-00 </t>
  </si>
  <si>
    <t>Пасивна имунизација хепатитис Б имуноглобулином</t>
  </si>
  <si>
    <t>92203-00</t>
  </si>
  <si>
    <t>Екстракција млека из дојке у лактацији</t>
  </si>
  <si>
    <t xml:space="preserve">96021-00 </t>
  </si>
  <si>
    <t>Процена самосталности</t>
  </si>
  <si>
    <t xml:space="preserve">96022-00 </t>
  </si>
  <si>
    <t xml:space="preserve">Процена одржавања здравља или опоравка </t>
  </si>
  <si>
    <t xml:space="preserve">96066-00 </t>
  </si>
  <si>
    <t xml:space="preserve">Превентивно саветовање или подучавање </t>
  </si>
  <si>
    <t>Саветовање или подучавање о прописаним/самоизабраним лековима</t>
  </si>
  <si>
    <t xml:space="preserve">96075-00 </t>
  </si>
  <si>
    <t xml:space="preserve">Саветовање или подучавање о бризи о самом себи </t>
  </si>
  <si>
    <t xml:space="preserve">96080-00 </t>
  </si>
  <si>
    <t>Саветовање или подучавање о планирању породице, припремању за родитељство</t>
  </si>
  <si>
    <t>96089-00</t>
  </si>
  <si>
    <t>Подучавање о правима и могућностима пацијента</t>
  </si>
  <si>
    <t>96156-00</t>
  </si>
  <si>
    <t>Терапијско затварање ока завојем</t>
  </si>
  <si>
    <t xml:space="preserve">96161-00 </t>
  </si>
  <si>
    <t>Фототерапија меких ткива</t>
  </si>
  <si>
    <t>96200-09</t>
  </si>
  <si>
    <t>субкутано давање фармаколошког средства, друго и неназначено фармаколошко средство</t>
  </si>
  <si>
    <t>Орално давање фармаколошког средства, антиинфективно</t>
  </si>
  <si>
    <t>96203-07</t>
  </si>
  <si>
    <t>Орално давање фармаколошког средства, хранљива супстанца</t>
  </si>
  <si>
    <t>Орално давање фармаколошког средства, друго и некласификовано</t>
  </si>
  <si>
    <t>Мерење запремине 24х урина, дневног урина</t>
  </si>
  <si>
    <t>ДИЈАГНОСТИЧКЕ УСЛУГЕ ГИНЕКОЛОГИЈА</t>
  </si>
  <si>
    <t>11332-00</t>
  </si>
  <si>
    <t xml:space="preserve">Испитивање отоакустичке емисије изазване кликом ( ТЕОАЕ ) </t>
  </si>
  <si>
    <t>11506-00</t>
  </si>
  <si>
    <t>Остала мерења респираторне функције</t>
  </si>
  <si>
    <t>11615-00</t>
  </si>
  <si>
    <t>Мерење периферне температуре на прсту</t>
  </si>
  <si>
    <t>11700-00</t>
  </si>
  <si>
    <t>ЕКГ остале електрокардиографије</t>
  </si>
  <si>
    <t>11713-00</t>
  </si>
  <si>
    <t>13312-00</t>
  </si>
  <si>
    <t>Вађење крви у новорођенчету у дијагностичке сврхе</t>
  </si>
  <si>
    <t xml:space="preserve">16514-01 </t>
  </si>
  <si>
    <t>Екстерни ЦТГ мониторинг фетуса</t>
  </si>
  <si>
    <t>35614-00</t>
  </si>
  <si>
    <t>Kolposkopija</t>
  </si>
  <si>
    <t>55700-01</t>
  </si>
  <si>
    <t>Ултразвучни преглед због мерења раста фетуса</t>
  </si>
  <si>
    <t>55700-02</t>
  </si>
  <si>
    <t>Ултразвучни преглед абдомена или пелвиса због осталих стања повезаних са трудноћом</t>
  </si>
  <si>
    <t>55731-00</t>
  </si>
  <si>
    <t>Ултразвучни преглед женског пелвиса</t>
  </si>
  <si>
    <t>59712-00</t>
  </si>
  <si>
    <t>Хистеросалпингографија</t>
  </si>
  <si>
    <t xml:space="preserve">92130-00 </t>
  </si>
  <si>
    <t>Папаниколау (ПАП) тест</t>
  </si>
  <si>
    <t>Глукоза у капиларној крви ПОЦТ методом</t>
  </si>
  <si>
    <t>ДНЕВНА БОЛНИЦА ГИНЕКОЛОГИЈА</t>
  </si>
  <si>
    <t>OПЕРАЦИЈЕ ГИНЕКОЛОГИЈА ДБ</t>
  </si>
  <si>
    <t>МАЛЕ ИНТЕРВЕНЦИЈЕ ГИНЕКОЛОГИЈА ДБ</t>
  </si>
  <si>
    <t>ТЕРАПИЈСКЕ УСЛУГЕ ГИНЕКОЛОГИЈА ДБ</t>
  </si>
  <si>
    <t>ДИЈАГНОСТИЧКЕ УСЛУГЕ ГИНЕКОЛОГИЈА ДБ</t>
  </si>
  <si>
    <t>Колпоскопија</t>
  </si>
  <si>
    <t>ТЕРАПИЈСКЕ УСЛУГЕ ПЕДИЈАТРИЈА</t>
  </si>
  <si>
    <t>90344-01</t>
  </si>
  <si>
    <t>Примена другог терапеутског средства у аноректалном подручју</t>
  </si>
  <si>
    <t>92043-00</t>
  </si>
  <si>
    <t>Примена лека за респираторни систем помоћу небулизатора</t>
  </si>
  <si>
    <t>92044-00</t>
  </si>
  <si>
    <t>Остале терапије обогаћивања кисеоником</t>
  </si>
  <si>
    <t>96067-00</t>
  </si>
  <si>
    <t>Саветовање или подучавање о исхрани/дневном уносу хране</t>
  </si>
  <si>
    <t xml:space="preserve">96073-00 </t>
  </si>
  <si>
    <t>Саветовање или подучавање о штетности супстанци које узрокују зависност</t>
  </si>
  <si>
    <t>96076-00</t>
  </si>
  <si>
    <t>Саветовање или подучавање о одржавању здравља и опоравку</t>
  </si>
  <si>
    <t>96157-00</t>
  </si>
  <si>
    <t>Дренажа респираторног система без инхалације</t>
  </si>
  <si>
    <t>Пратња и транспорт</t>
  </si>
  <si>
    <t>96203-01</t>
  </si>
  <si>
    <t>Орално давање фармаколошког средстава, антиинфективно</t>
  </si>
  <si>
    <t>96203-03</t>
  </si>
  <si>
    <t>Орално давање фармаколошког средства, стероид</t>
  </si>
  <si>
    <t>Орално давање фармаколошлог средства -електролит</t>
  </si>
  <si>
    <t>Орално давање фармаколошког средстава, друго и некласификовано</t>
  </si>
  <si>
    <t>96205-02</t>
  </si>
  <si>
    <t>Неки други начин давања средства, анти-инфективно</t>
  </si>
  <si>
    <t>96205-03</t>
  </si>
  <si>
    <t>Неки други начин давања средства, стероид</t>
  </si>
  <si>
    <t>ДИЈАГНОСТИЧКЕ УСЛУГЕ ПЕДИЈАТРИЈА</t>
  </si>
  <si>
    <t xml:space="preserve">11600-03 </t>
  </si>
  <si>
    <t>13839-00</t>
  </si>
  <si>
    <t>Узорковање других биолошких материјала у лабораторији</t>
  </si>
  <si>
    <t>L000695</t>
  </si>
  <si>
    <t>Сатурација у крви</t>
  </si>
  <si>
    <t>ДНЕВНА БОЛНИЦА ПЕДИЈАТРИЈА</t>
  </si>
  <si>
    <t>ТЕРАПИЈСКЕ УСЛУГЕ ПЕДИЈАТРИЈА ДБ</t>
  </si>
  <si>
    <t>ДИЈАГНОСТИЧКЕ УСЛУГЕ ПЕДИЈАТРИЈА ДБ</t>
  </si>
  <si>
    <t>ОСТАЛЕ УСЛУГЕ АНЕСТЕЗИЈА</t>
  </si>
  <si>
    <t>13815-00</t>
  </si>
  <si>
    <t xml:space="preserve">Централна венска катетеризација </t>
  </si>
  <si>
    <t>13815-01</t>
  </si>
  <si>
    <t xml:space="preserve">Перкутана централна венска катетеризација </t>
  </si>
  <si>
    <t>13882-00</t>
  </si>
  <si>
    <t xml:space="preserve">Поступак одржавања континуиране вентилаторне подршке,≤ 24 сата </t>
  </si>
  <si>
    <t>13882-01</t>
  </si>
  <si>
    <t xml:space="preserve">Поступак одржавања континуиране вентилаторне подршке,&gt; 24 сати и &lt; 96 </t>
  </si>
  <si>
    <t>18216-00</t>
  </si>
  <si>
    <t xml:space="preserve">Епидурална инфузија локалног анестетика </t>
  </si>
  <si>
    <t>18216-31</t>
  </si>
  <si>
    <t xml:space="preserve">Спинална инјекција локалног анестетика </t>
  </si>
  <si>
    <t>22007-00</t>
  </si>
  <si>
    <t xml:space="preserve">Ендотрахеална интубација, једнолуменски тубус </t>
  </si>
  <si>
    <t>90179-06</t>
  </si>
  <si>
    <t xml:space="preserve">Поступак одржавања трахеостоме </t>
  </si>
  <si>
    <t>92046-00</t>
  </si>
  <si>
    <t xml:space="preserve">Замена каниле за трахеостомију </t>
  </si>
  <si>
    <t>92052-00</t>
  </si>
  <si>
    <t xml:space="preserve">Кардиопулмонална реанимација </t>
  </si>
  <si>
    <t>92053-00</t>
  </si>
  <si>
    <t>92500-00</t>
  </si>
  <si>
    <t xml:space="preserve">Рутинска преоперативна анестезиолошка процена </t>
  </si>
  <si>
    <t>92500-01</t>
  </si>
  <si>
    <t xml:space="preserve">Продужена преоперативна анестезиолошка процена </t>
  </si>
  <si>
    <t>92500-02</t>
  </si>
  <si>
    <t xml:space="preserve">Хитна преоперативна анестезиолошка процена </t>
  </si>
  <si>
    <t>92514-10</t>
  </si>
  <si>
    <t xml:space="preserve">Општа анестезија, АСА 10 </t>
  </si>
  <si>
    <t>92514-19</t>
  </si>
  <si>
    <t xml:space="preserve">Општа анестезија, АСА 19 </t>
  </si>
  <si>
    <t>92514-20</t>
  </si>
  <si>
    <t xml:space="preserve">Општа анестезија, АСА 20 </t>
  </si>
  <si>
    <t>92514-29</t>
  </si>
  <si>
    <t xml:space="preserve">Општа анестезија, АСА 29 </t>
  </si>
  <si>
    <t>92514-30</t>
  </si>
  <si>
    <t xml:space="preserve">Општа анестезија, АСА 30 </t>
  </si>
  <si>
    <t>92514-39</t>
  </si>
  <si>
    <t xml:space="preserve">Општа анестезија, АСА 39 </t>
  </si>
  <si>
    <t>92514-40</t>
  </si>
  <si>
    <t xml:space="preserve">Општа анестезија, АСА 40 </t>
  </si>
  <si>
    <t>92514-49</t>
  </si>
  <si>
    <t>Општа анестезија АСА 49</t>
  </si>
  <si>
    <t>92514-50</t>
  </si>
  <si>
    <t xml:space="preserve">Општа анестезија, АСА 50 </t>
  </si>
  <si>
    <t>92515-10</t>
  </si>
  <si>
    <t xml:space="preserve">Седација, АСА 10 </t>
  </si>
  <si>
    <t>92515-19</t>
  </si>
  <si>
    <t xml:space="preserve">Седација, АСА 19 </t>
  </si>
  <si>
    <t>92515-20</t>
  </si>
  <si>
    <t xml:space="preserve">Седација, АСА 20 </t>
  </si>
  <si>
    <t>92515-29</t>
  </si>
  <si>
    <t xml:space="preserve">Седација, АСА 29 </t>
  </si>
  <si>
    <t>92515-30</t>
  </si>
  <si>
    <t xml:space="preserve">Седација, АСА 30 </t>
  </si>
  <si>
    <t>92515-39</t>
  </si>
  <si>
    <t xml:space="preserve">Седација, АСА 39 </t>
  </si>
  <si>
    <t>92515-40</t>
  </si>
  <si>
    <t xml:space="preserve">Седација, АСА 40 </t>
  </si>
  <si>
    <t>92515-49</t>
  </si>
  <si>
    <t xml:space="preserve">Седација, АСА 49 </t>
  </si>
  <si>
    <t>ТЕРАПИЈСКЕ УСЛУГЕ АНЕСТЕЗИЈА</t>
  </si>
  <si>
    <t>92036-00</t>
  </si>
  <si>
    <t xml:space="preserve">Пласирање назогастричне сонде </t>
  </si>
  <si>
    <t>92037-00</t>
  </si>
  <si>
    <t xml:space="preserve">Пратња или транспорт клијента </t>
  </si>
  <si>
    <t>Интравенско давање фармаколошког средства - електролит</t>
  </si>
  <si>
    <t>Интерно одељење и интернистичка амбуланта</t>
  </si>
  <si>
    <t>ТЕРАПИЈСКЕ УСЛУГЕ ИНТЕРНО</t>
  </si>
  <si>
    <t>13757-00</t>
  </si>
  <si>
    <t>Терапијска венесекција</t>
  </si>
  <si>
    <t>Појединачна пријава заразне болести</t>
  </si>
  <si>
    <t>Пријава сумње на заразно обољење</t>
  </si>
  <si>
    <t xml:space="preserve">92054-00 </t>
  </si>
  <si>
    <t xml:space="preserve">Стимулација каротидног синуса </t>
  </si>
  <si>
    <t>95550-14</t>
  </si>
  <si>
    <t>Удружене здравствене процедуре, едукација о дијабетесу</t>
  </si>
  <si>
    <t xml:space="preserve">96027-00 </t>
  </si>
  <si>
    <t xml:space="preserve">Процена узимања прописаних лекова </t>
  </si>
  <si>
    <t>96066-00</t>
  </si>
  <si>
    <t>Превентивно саветовање или подучавање</t>
  </si>
  <si>
    <t>Интрамускуларно давње антинеопластичног средства</t>
  </si>
  <si>
    <t>96197-04</t>
  </si>
  <si>
    <t>Интрамускуларно давање фармаколошког средства, антидот</t>
  </si>
  <si>
    <t>96199-06</t>
  </si>
  <si>
    <t>Интравенско давање фармаколошког средства, инсулин</t>
  </si>
  <si>
    <t>96200-06</t>
  </si>
  <si>
    <t>Субкутано давање фармаколошког средства, инсулин</t>
  </si>
  <si>
    <t>Субкутано давање фармаколошког средства, друго и некласификовано фармакколошко средство</t>
  </si>
  <si>
    <t>96203-00</t>
  </si>
  <si>
    <t>Орално давање антинеопластичног средства</t>
  </si>
  <si>
    <t>Орално давање фармаколошког средства, друго и некласификовано фармаколошко средство</t>
  </si>
  <si>
    <t>ДИЈАГНОСТИЧКЕ УСЛУГЕ ИНТЕРНО</t>
  </si>
  <si>
    <t xml:space="preserve">11712-00 </t>
  </si>
  <si>
    <t>Кардиоваскуларни стрес тест –тест оптерећења</t>
  </si>
  <si>
    <t>13400-00</t>
  </si>
  <si>
    <t>Кардиоверзија</t>
  </si>
  <si>
    <t>55032-00</t>
  </si>
  <si>
    <t>Ултразвучни преглед врата</t>
  </si>
  <si>
    <t>55113-00</t>
  </si>
  <si>
    <t>М-приказ и дводимензионални ултразвучни преглед срца у реалном времену</t>
  </si>
  <si>
    <t>L000349</t>
  </si>
  <si>
    <t>Глукоза у капиларној крви - ПОЦТ методом</t>
  </si>
  <si>
    <t>ДНЕВНА БОЛНИЦА ИНТЕРНО</t>
  </si>
  <si>
    <t>ТЕРАПИЈСКЕ УСЛУГЕ ИНТЕРНО ДБ</t>
  </si>
  <si>
    <t xml:space="preserve"> ДИЈАГНОСТИЧКЕ УСЛУГЕ ИНТЕРНО ДБ</t>
  </si>
  <si>
    <t>ТЕРАПИЈСКЕ УСЛУГЕ ПНЕУМОФТИЗ.</t>
  </si>
  <si>
    <t xml:space="preserve">96071-00 </t>
  </si>
  <si>
    <t xml:space="preserve">Саветовање или подучавање о помагалима или уређајима за прилагођавање </t>
  </si>
  <si>
    <t>96073-00</t>
  </si>
  <si>
    <t xml:space="preserve">Саветовање о штетности супстанци које узрокују зависност </t>
  </si>
  <si>
    <t>Саветовање о одржавању здравља и опоравку</t>
  </si>
  <si>
    <t>ДИЈАГНОСТИЧКЕ УСЛУГЕ ПНЕУМОФТИЗ.</t>
  </si>
  <si>
    <t>11500-00</t>
  </si>
  <si>
    <t>Бронхоспирометрија</t>
  </si>
  <si>
    <t>12000-00</t>
  </si>
  <si>
    <t>Тест кожне осетљивости са 20 алергена</t>
  </si>
  <si>
    <t>Збирна пријава заразне болести</t>
  </si>
  <si>
    <t>Вођење картотеке носилаштва заразних болести</t>
  </si>
  <si>
    <t>Израда годишњег извештаја о заразним болестима</t>
  </si>
  <si>
    <t xml:space="preserve">Здравствени преглед одређених категорија запослених, других лица и </t>
  </si>
  <si>
    <t>Оксиметрија</t>
  </si>
  <si>
    <t>ТЕРАПИЈСКЕ УСЛУГЕ ОФТАЛМОЛОГИЈА</t>
  </si>
  <si>
    <t>30061-02</t>
  </si>
  <si>
    <t>Уклањање површинског страног тела са рожњаче</t>
  </si>
  <si>
    <t>42650-00</t>
  </si>
  <si>
    <t>Дебридман (абразија) епитела рожњаче</t>
  </si>
  <si>
    <t xml:space="preserve">92025-00 </t>
  </si>
  <si>
    <t xml:space="preserve">96156-00 </t>
  </si>
  <si>
    <t xml:space="preserve">Терапијско затварање ока завојем </t>
  </si>
  <si>
    <t>ДИЈАГНОСТИЧКЕ УСЛУГЕ ОФТАЛМОЛОГИЈА</t>
  </si>
  <si>
    <t>Тумачење резултата лабораторијског испитивања по узорку</t>
  </si>
  <si>
    <t xml:space="preserve">11212-00 </t>
  </si>
  <si>
    <t xml:space="preserve">Преглед очног дна </t>
  </si>
  <si>
    <t xml:space="preserve">92016-00 </t>
  </si>
  <si>
    <t xml:space="preserve">Тонометрија </t>
  </si>
  <si>
    <t xml:space="preserve">92018-00 </t>
  </si>
  <si>
    <t>Испитивање колорног вида</t>
  </si>
  <si>
    <t>96037-00</t>
  </si>
  <si>
    <t>Остале процене, консултације или евалуације</t>
  </si>
  <si>
    <t xml:space="preserve">96038-00 </t>
  </si>
  <si>
    <t>Мерење оштрине вида</t>
  </si>
  <si>
    <t xml:space="preserve">96040-00 </t>
  </si>
  <si>
    <t>Мануална периметрија, једнострана</t>
  </si>
  <si>
    <t xml:space="preserve">96041-00 </t>
  </si>
  <si>
    <t>Мануална периметрија, обострана</t>
  </si>
  <si>
    <t>U8183218</t>
  </si>
  <si>
    <t>Друге врсте процене видног поља</t>
  </si>
  <si>
    <t>U8183220</t>
  </si>
  <si>
    <t>Процена (оптичких карактеристика) тренутно коришћених наочара</t>
  </si>
  <si>
    <t>U8183225</t>
  </si>
  <si>
    <t>Процена рефракције, објективна, ручна (ретиноскопија)</t>
  </si>
  <si>
    <t>U8183226</t>
  </si>
  <si>
    <t>Процена рефракције, субјективна</t>
  </si>
  <si>
    <t>U8183230</t>
  </si>
  <si>
    <t>Процена општег изгледа ока и аднекса</t>
  </si>
  <si>
    <t>U8183233</t>
  </si>
  <si>
    <t>Процена функције екстраокуларних мишића</t>
  </si>
  <si>
    <t>U8183235</t>
  </si>
  <si>
    <t>Процена конвергенције</t>
  </si>
  <si>
    <t>U8183241</t>
  </si>
  <si>
    <t>Процена покрета очију, конвергентно-дивергентних</t>
  </si>
  <si>
    <t>U8183251</t>
  </si>
  <si>
    <t>Процена диплопије</t>
  </si>
  <si>
    <t>U8183261</t>
  </si>
  <si>
    <t>Преглед/процена очног капка</t>
  </si>
  <si>
    <t>U8183262</t>
  </si>
  <si>
    <t>Преглед/процена очне јабучице</t>
  </si>
  <si>
    <t>U8183264</t>
  </si>
  <si>
    <t>Преглед/процена предњег сегмента, коњунктива</t>
  </si>
  <si>
    <t>U8183265</t>
  </si>
  <si>
    <t>Преглед/процена предњег сегмента, рожњача</t>
  </si>
  <si>
    <t>U8183266</t>
  </si>
  <si>
    <t>Преглед/процена предњег сегмента, предња комора</t>
  </si>
  <si>
    <t>U8183267</t>
  </si>
  <si>
    <t>Преглед/процена предњег сегмента, дужица</t>
  </si>
  <si>
    <t>U8183268</t>
  </si>
  <si>
    <t>Преглед/процена предњег сегмента, сочиво</t>
  </si>
  <si>
    <t>U8183271</t>
  </si>
  <si>
    <t>Преглед/процена задњег сегмента</t>
  </si>
  <si>
    <t>U8183273</t>
  </si>
  <si>
    <t>Преглед/процена зенице, изглед</t>
  </si>
  <si>
    <t>U8183274</t>
  </si>
  <si>
    <t>Преглед/процена зенице, реакције</t>
  </si>
  <si>
    <t>U8183301</t>
  </si>
  <si>
    <t>Офталмолошка оптичка интервенција, рецепт, наочаре</t>
  </si>
  <si>
    <t>U8183502</t>
  </si>
  <si>
    <t>Пупилометрија</t>
  </si>
  <si>
    <t>ТЕРАПИЈСКЕ УСЛУГЕ ОРЛ</t>
  </si>
  <si>
    <t>30061-01</t>
  </si>
  <si>
    <t>Уклањање страног тела из фаринкса без инцизије</t>
  </si>
  <si>
    <t>30278-02</t>
  </si>
  <si>
    <t>Лингвална френотомија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</si>
  <si>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</si>
  <si>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</si>
  <si>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</si>
  <si>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</si>
  <si>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</si>
  <si>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</si>
  <si>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41650-01</t>
  </si>
  <si>
    <t>Инспекција бубне опне, обострано</t>
  </si>
  <si>
    <t>41653-00</t>
  </si>
  <si>
    <t>Предња риноскопија и/или задња риноскопија</t>
  </si>
  <si>
    <t>Хемостаза епистаксе предњом тампонадом и/или каутеризацијом</t>
  </si>
  <si>
    <t>90119-00</t>
  </si>
  <si>
    <t>Отоскопија</t>
  </si>
  <si>
    <t xml:space="preserve">92027-00 </t>
  </si>
  <si>
    <t xml:space="preserve">Тампонада спољашњег слушног канала </t>
  </si>
  <si>
    <t xml:space="preserve">92030-00 </t>
  </si>
  <si>
    <t>Ретампонада носа</t>
  </si>
  <si>
    <t xml:space="preserve">92031-00 </t>
  </si>
  <si>
    <t>Детампонада носа</t>
  </si>
  <si>
    <t xml:space="preserve">96068-00 </t>
  </si>
  <si>
    <t xml:space="preserve">Саветовање или подучавање о губитку слуха или поремаћајима слуха </t>
  </si>
  <si>
    <t>U8188704</t>
  </si>
  <si>
    <t>Аспирација секрета из носа методом по Прецу (Проетз)</t>
  </si>
  <si>
    <t>ДИЈАГНОСТИЧКЕ УСЛУГЕ ОРЛ</t>
  </si>
  <si>
    <t xml:space="preserve">11309-00 </t>
  </si>
  <si>
    <t xml:space="preserve">Аудиометрија, ваздушна спроводљивост, стандардна техника </t>
  </si>
  <si>
    <t>41849-00</t>
  </si>
  <si>
    <t>Ларингоскопија</t>
  </si>
  <si>
    <t xml:space="preserve">96009-00 </t>
  </si>
  <si>
    <t>Процена функције слуха</t>
  </si>
  <si>
    <t>U8183601</t>
  </si>
  <si>
    <t>Процентуални губитак слуха по Фаулеру (Фоwлер)</t>
  </si>
  <si>
    <t>ТЕРАПИЈСКЕ УСЛУГЕ ДЕРМАТО</t>
  </si>
  <si>
    <t>Тумачење резултатa лабораторије, испитивања по узорку</t>
  </si>
  <si>
    <t>Превијање опекотине,мање од 10% тела је превијено</t>
  </si>
  <si>
    <t>30186-00</t>
  </si>
  <si>
    <t>Уклањање брадавица са табана</t>
  </si>
  <si>
    <t>30186-01</t>
  </si>
  <si>
    <t>Уклањање брадавица са длана</t>
  </si>
  <si>
    <t>Уклањање молуске</t>
  </si>
  <si>
    <t>30195-00</t>
  </si>
  <si>
    <t>Киретажа лезије на кожи ,појединачна лезија</t>
  </si>
  <si>
    <t>30195-04</t>
  </si>
  <si>
    <t>Крио терапија лезија на кожи,појединачна лезија</t>
  </si>
  <si>
    <t>30195-05</t>
  </si>
  <si>
    <t>Крио терапија лезија на кожи,вишеструке лезије</t>
  </si>
  <si>
    <t>30195-06</t>
  </si>
  <si>
    <t>Електротарапија лезија на кожи ,појединачна лезија</t>
  </si>
  <si>
    <t>30207-00</t>
  </si>
  <si>
    <t>Примена средстава у лезијама на кожи</t>
  </si>
  <si>
    <t>31205-01</t>
  </si>
  <si>
    <t>Ексизија чира на кожи и поткожном ткиву</t>
  </si>
  <si>
    <t>32177-00</t>
  </si>
  <si>
    <t>Одстрањивање кондилома аналног канала и перианалне регије</t>
  </si>
  <si>
    <t>47906-00</t>
  </si>
  <si>
    <t>Обрада нокта на прсту стопала</t>
  </si>
  <si>
    <t>Обрада коже и поткожног ткива без екзиције</t>
  </si>
  <si>
    <t>96090-00</t>
  </si>
  <si>
    <t>Остала саветовања или подучавања</t>
  </si>
  <si>
    <t>Интрамускуларно давање фармаколошких средстава-стероид</t>
  </si>
  <si>
    <t>Интрамускуларно давање фармаколошког средства,друго и неозначено фармак.средство</t>
  </si>
  <si>
    <t>Интравенско давање фармаколошког средства ,стеродид</t>
  </si>
  <si>
    <t>Интравенско давање фармак.средства ,друго и некласификовано фармак.средство</t>
  </si>
  <si>
    <t>ДИЈАГНОСТИЧКЕ УСЛУГЕ ДЕРМАТО</t>
  </si>
  <si>
    <t>U8182000</t>
  </si>
  <si>
    <t>Дермоскопски преглед коже, једна лезија</t>
  </si>
  <si>
    <t>U8182001</t>
  </si>
  <si>
    <t>Дермоскопски преглед коже, више лезија</t>
  </si>
  <si>
    <t>ТЕРАПИЈСКЕ УСЛУГЕ НЕУРОЛОГ</t>
  </si>
  <si>
    <t>ДИЈАГНОСТИЧКЕ УСЛУГЕ НЕУРОЛОГ</t>
  </si>
  <si>
    <t>96024-00</t>
  </si>
  <si>
    <t xml:space="preserve">Процена потребе за уређајем или опремом која служи као помоћ </t>
  </si>
  <si>
    <t>96025-00</t>
  </si>
  <si>
    <t xml:space="preserve">Ревизија уређаја или опреме која служи као помоћ </t>
  </si>
  <si>
    <t xml:space="preserve">96026-00 </t>
  </si>
  <si>
    <t xml:space="preserve">Процена исхране/дневног уноса хране </t>
  </si>
  <si>
    <t>ПСИХИЈАТРИЈА</t>
  </si>
  <si>
    <t>ТЕРАПИЈСКЕ УСЛУГЕ ПСИХИЈАТАР</t>
  </si>
  <si>
    <t>ДИЈАГНОСТИЧКЕ УСЛУГЕ ПСИХИЈАТАР</t>
  </si>
  <si>
    <t>ПСИХОЛОГ</t>
  </si>
  <si>
    <t>090009</t>
  </si>
  <si>
    <t xml:space="preserve">Индивидуални рад психолога са родитељима </t>
  </si>
  <si>
    <t>ТЕРАПИЈСКЕ УСЛУГЕ ФИЗИКАЛНА</t>
  </si>
  <si>
    <t>22065-00</t>
  </si>
  <si>
    <t>Терапија хладноћом</t>
  </si>
  <si>
    <t>Електротерапија у новорођенчета и одојчета</t>
  </si>
  <si>
    <t xml:space="preserve">Кинезитерапија у новорођенчета и одојчета </t>
  </si>
  <si>
    <t>Електростимулација</t>
  </si>
  <si>
    <t>Интерферентне струје</t>
  </si>
  <si>
    <t>Стабилна галванизација</t>
  </si>
  <si>
    <t>Дијадинамичке струје</t>
  </si>
  <si>
    <t>Високофреквентне струје (краткоталасна дијаметрија-радар)</t>
  </si>
  <si>
    <t>Субаквални ултразвук</t>
  </si>
  <si>
    <t>Сонофореза</t>
  </si>
  <si>
    <t>Електромагнетно поље</t>
  </si>
  <si>
    <t>Апликација парафина по сегменту</t>
  </si>
  <si>
    <t>Позиционирање</t>
  </si>
  <si>
    <t>Вежбе хода у разбоју</t>
  </si>
  <si>
    <t>Активне вежбе са помагалима</t>
  </si>
  <si>
    <t>Корективне вежбе пред огледалом</t>
  </si>
  <si>
    <t>Обука заштитним покретима и положајима тела код дископатичара</t>
  </si>
  <si>
    <t>Активне сегментне вежбе са отпором</t>
  </si>
  <si>
    <t>Пасивне сегментне вежбе</t>
  </si>
  <si>
    <t>Индивидуални рад са децом (јувенилни артритис, церебрала и сл.)</t>
  </si>
  <si>
    <t>Вежбе на справама или ергобициклу</t>
  </si>
  <si>
    <t>Функционална радна терапија - групна</t>
  </si>
  <si>
    <t>Вежбе пацијената са параплегијом или хемиплегијом</t>
  </si>
  <si>
    <t>Електрофореза лека</t>
  </si>
  <si>
    <t>Превенција декубитуса у рехабилитацији</t>
  </si>
  <si>
    <t>Вежбе код деформитета кичменог стуба код деце</t>
  </si>
  <si>
    <t>Индивидуални рад са геријатријским ортопедским болесницима</t>
  </si>
  <si>
    <t xml:space="preserve">96024-00 </t>
  </si>
  <si>
    <t xml:space="preserve">96025-00 </t>
  </si>
  <si>
    <t>96115-00</t>
  </si>
  <si>
    <t>Терапија мисица темпомандибуларног зглоба везбањем</t>
  </si>
  <si>
    <t>96116-00</t>
  </si>
  <si>
    <t>Терапија оцних мисица везбањем</t>
  </si>
  <si>
    <t>96118-00</t>
  </si>
  <si>
    <t>Терапија раменог зглоба вежбањем</t>
  </si>
  <si>
    <t>96119-00</t>
  </si>
  <si>
    <t>Терапија грудних и трбушних мишића вежбањем</t>
  </si>
  <si>
    <t>96120-00</t>
  </si>
  <si>
    <t>Терапија мишића леђа и врата вежбањем</t>
  </si>
  <si>
    <t>96121-00</t>
  </si>
  <si>
    <t>Терапија мишића руку вежбањем</t>
  </si>
  <si>
    <t>96122-00</t>
  </si>
  <si>
    <t>Терапија лакатног зглоба вежбањем</t>
  </si>
  <si>
    <t>96123-00</t>
  </si>
  <si>
    <t>Терапија мишића руку,ручног зглоба или прстију вежбањем</t>
  </si>
  <si>
    <t>96124-00</t>
  </si>
  <si>
    <t>Терапија зглоба кука вежбањем</t>
  </si>
  <si>
    <t>96126-00</t>
  </si>
  <si>
    <t>Терапија мишића ногу вежбањем</t>
  </si>
  <si>
    <t>96127-00</t>
  </si>
  <si>
    <t>Терапија зглоба колена вежбањем</t>
  </si>
  <si>
    <t>96128-00</t>
  </si>
  <si>
    <t>Терапија мишића стопала,ножног зглоба или зглоба прстију вежбањем</t>
  </si>
  <si>
    <t>96130-00</t>
  </si>
  <si>
    <t>Увежбавање вештина у активностима повезаним са положајем тела (моб.поретком)</t>
  </si>
  <si>
    <t xml:space="preserve">96131-00 </t>
  </si>
  <si>
    <t xml:space="preserve">Увежбавање вештина у активностима повезаним са премештањем </t>
  </si>
  <si>
    <t xml:space="preserve">96154-00 </t>
  </si>
  <si>
    <t>Терапијски ултразвук</t>
  </si>
  <si>
    <t>96161-00</t>
  </si>
  <si>
    <t>ТЕРАПИЈСКЕ УСЛУГЕ ЛОГОПЕД</t>
  </si>
  <si>
    <t>ПРЕВЕНТИВНИ ПРЕГЛЕД</t>
  </si>
  <si>
    <t>96011-00</t>
  </si>
  <si>
    <t>ПРОЦЕНА ГЛАСА</t>
  </si>
  <si>
    <t>96012-00</t>
  </si>
  <si>
    <t>ПРОЦЕНА ГОВОРА</t>
  </si>
  <si>
    <t>96013-00</t>
  </si>
  <si>
    <t>ПРОЦЕНА РЕЧИТОСТИ</t>
  </si>
  <si>
    <t>96014-00</t>
  </si>
  <si>
    <t>ПРОЦЕНА ЈЕЗИЧКИХ СПОСОБНОСТИ</t>
  </si>
  <si>
    <t>96070-00</t>
  </si>
  <si>
    <t>САВЕТОДАВАЊЕ ИЛИ ПОДУЧАВАЊЕ О ГЛАСУ,ГОВОРУ, РЕЧИТОСТИ</t>
  </si>
  <si>
    <t>96134-00</t>
  </si>
  <si>
    <t>УВЕЖБАВАЊЕ ГЛАСА</t>
  </si>
  <si>
    <t>96135-00</t>
  </si>
  <si>
    <t>УВЕЖБАВАЊЕ ВЕШТИНЕ ГОВОРЕЊА</t>
  </si>
  <si>
    <t>96136-00</t>
  </si>
  <si>
    <t>УВЕЖБАВАЊЕ ВЕШТИНЕ ТЕЧНОГ ГОВОРА</t>
  </si>
  <si>
    <t>96137-00</t>
  </si>
  <si>
    <t>УВЕЖБАВАЊЕ ЈЕЗИЧКИХ ВЕШТИНА</t>
  </si>
  <si>
    <t>U8187401</t>
  </si>
  <si>
    <t>РЕХАБИЛИТАЦИЈА РИНОЛАЛИЈА</t>
  </si>
  <si>
    <t>U8187408</t>
  </si>
  <si>
    <t>АРТИКУЛАЦИОНИ ТРЕТМАН</t>
  </si>
  <si>
    <t>U8187409</t>
  </si>
  <si>
    <t>КОРЕКТИВНИ ТРЕТМАН ПОРЕМЕЋАЈА ГОВОРА</t>
  </si>
  <si>
    <t>U8187413</t>
  </si>
  <si>
    <t>УПУТСТВА И САВЕТ РОДИТЕЊИМА ОШТЕЋЕНОГ ГЛАСА</t>
  </si>
  <si>
    <t>U9601201</t>
  </si>
  <si>
    <t>ДЕФЕКТОЛОГ АНАМНЕЗА И ОПСЕРВАЦИЈА</t>
  </si>
  <si>
    <t>U9601202</t>
  </si>
  <si>
    <t>КОНТРОЛНИ ПРЕГЛЕД ЛОГОПЕДА</t>
  </si>
  <si>
    <t>ОСТАЛЕ УСЛУГЕ ТРАНСФУЗИЈА</t>
  </si>
  <si>
    <t xml:space="preserve">13706-02 </t>
  </si>
  <si>
    <t xml:space="preserve">Трансфузија еритроцита </t>
  </si>
  <si>
    <t xml:space="preserve">13706-03 </t>
  </si>
  <si>
    <t>Tрансфузија тромбоцита</t>
  </si>
  <si>
    <t xml:space="preserve">13709-00 </t>
  </si>
  <si>
    <t>Скупљање крви за трансфузију</t>
  </si>
  <si>
    <t xml:space="preserve">92061-00 </t>
  </si>
  <si>
    <t>Трансфузија фактора коагулације</t>
  </si>
  <si>
    <t xml:space="preserve">92062-00 </t>
  </si>
  <si>
    <t>Трансфузија крвних компоненти и деривата</t>
  </si>
  <si>
    <t>L014332</t>
  </si>
  <si>
    <t>Активно парцијално тромбопластинско време у плазми-коагулација</t>
  </si>
  <si>
    <t>L015040</t>
  </si>
  <si>
    <t>Протобинско  време (ПТ и ИНР вредност) у плазми -коагулометријски</t>
  </si>
  <si>
    <t>L015057</t>
  </si>
  <si>
    <t>Протобинско време (ПТ)</t>
  </si>
  <si>
    <t>L018168</t>
  </si>
  <si>
    <t>АБО крвна група -плочица</t>
  </si>
  <si>
    <t>L018192</t>
  </si>
  <si>
    <t>АБО РХД крвана група -епрувета</t>
  </si>
  <si>
    <t>L018242</t>
  </si>
  <si>
    <t>Елуција еритроцитних антитела</t>
  </si>
  <si>
    <t>L018259</t>
  </si>
  <si>
    <t>Елуција еритроцитних антитела-топлотна елуција</t>
  </si>
  <si>
    <t>L018275</t>
  </si>
  <si>
    <t>Интерреакција ,еритроцит даваоца и серум примаоца-епрувета</t>
  </si>
  <si>
    <t>L018309</t>
  </si>
  <si>
    <t>Испитивања пострансфузионе реакције-епрувете</t>
  </si>
  <si>
    <t>L018432</t>
  </si>
  <si>
    <t>Монспецифицан директан Coombs-ov тест (ДАТ) епрувета</t>
  </si>
  <si>
    <t>L019026</t>
  </si>
  <si>
    <t>Индиректан Coombs-ov тест (ИАТ) епрувета</t>
  </si>
  <si>
    <t>L019091</t>
  </si>
  <si>
    <t>Скрининг тест еритрогирних антиттела (АХГ) епрувета</t>
  </si>
  <si>
    <t>L020388</t>
  </si>
  <si>
    <t>Трепонема палидум хемаглутинацијом(ТПХ)</t>
  </si>
  <si>
    <t>L020578</t>
  </si>
  <si>
    <t>Квалитативно одређивање анти ХЦВ антиттела -ЕЛИЗА</t>
  </si>
  <si>
    <t>L020602</t>
  </si>
  <si>
    <t>Квалитативно одређивање антигена и антитела за ХИВ -ЕЛИЗА</t>
  </si>
  <si>
    <t>L020636</t>
  </si>
  <si>
    <t>Квалитативно одређивање анти ХБС антиттела -Елиса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</si>
  <si>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</si>
  <si>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</si>
  <si>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</si>
  <si>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</si>
  <si>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</si>
  <si>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</si>
  <si>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</si>
  <si>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</si>
  <si>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Рендген дијагностика (2 aпарата и 2 смене)</t>
  </si>
  <si>
    <t>58100-00</t>
  </si>
  <si>
    <t>Радиографско снимање цервикалног дела кичме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</si>
  <si>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</si>
  <si>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</si>
  <si>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</si>
  <si>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</si>
  <si>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57706-00</t>
  </si>
  <si>
    <t>Радиографско снимање клавикуле</t>
  </si>
  <si>
    <t>57700-00</t>
  </si>
  <si>
    <t>Радиографско снимање рамена или скапуле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</si>
  <si>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</si>
  <si>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</si>
  <si>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</si>
  <si>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</si>
  <si>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</si>
  <si>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</si>
  <si>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</si>
  <si>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</si>
  <si>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</si>
  <si>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</si>
  <si>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</si>
  <si>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</si>
  <si>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</si>
  <si>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</si>
  <si>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58524-00</t>
  </si>
  <si>
    <t>Радиографско снимање ребара, обострано</t>
  </si>
  <si>
    <t>59303-00</t>
  </si>
  <si>
    <t>Радиографско снимање дојке, једнострано</t>
  </si>
  <si>
    <t>Радиографско снимање дојке, обострано</t>
  </si>
  <si>
    <t>58500-00</t>
  </si>
  <si>
    <t>58924-00</t>
  </si>
  <si>
    <t>Холецистографија</t>
  </si>
  <si>
    <t>58927-00</t>
  </si>
  <si>
    <t>Директна холангиографија, постоперативна</t>
  </si>
  <si>
    <t>58900-00</t>
  </si>
  <si>
    <t>Радиографско снимање абдомена</t>
  </si>
  <si>
    <t>58706-00</t>
  </si>
  <si>
    <t>Интравенска пиjелографија</t>
  </si>
  <si>
    <t>58718-01</t>
  </si>
  <si>
    <t>Ретроградна уретрографија</t>
  </si>
  <si>
    <t>58721-00</t>
  </si>
  <si>
    <t>Ретроградна микциона цистоуретрографија</t>
  </si>
  <si>
    <t>58700-00</t>
  </si>
  <si>
    <t>Радиографско снимање уринарног система</t>
  </si>
  <si>
    <t>58715-00</t>
  </si>
  <si>
    <t>Антероградна пиjелографија</t>
  </si>
  <si>
    <t>57712-00</t>
  </si>
  <si>
    <t>Радиографско снимање зглоба кука</t>
  </si>
  <si>
    <t>57715-00</t>
  </si>
  <si>
    <t>Радиографско снимање пелвиса</t>
  </si>
  <si>
    <t xml:space="preserve">59712-00 </t>
  </si>
  <si>
    <t>57518-00</t>
  </si>
  <si>
    <t>Радиографско снимање фемура</t>
  </si>
  <si>
    <t>57518-01</t>
  </si>
  <si>
    <t>Радиографско снимање колена</t>
  </si>
  <si>
    <t>57518-03</t>
  </si>
  <si>
    <t>Радиографско снимање глежња</t>
  </si>
  <si>
    <t>57518-04</t>
  </si>
  <si>
    <t>Радиографско снимање стопала</t>
  </si>
  <si>
    <t>57903-00</t>
  </si>
  <si>
    <t>Радиографско снимање параназалног синуса</t>
  </si>
  <si>
    <t>57906-00</t>
  </si>
  <si>
    <t>Радиографско снимање мастоидне кости</t>
  </si>
  <si>
    <t>57927-00</t>
  </si>
  <si>
    <t>Радиографско снимање темпоралномандибуларног зглоба</t>
  </si>
  <si>
    <t>57915-00</t>
  </si>
  <si>
    <t>Радиографско снимање мандибуле</t>
  </si>
  <si>
    <t>57912-00</t>
  </si>
  <si>
    <t>Радиографско снимање осталих фацијалних костију</t>
  </si>
  <si>
    <t>57921-00</t>
  </si>
  <si>
    <t>Радиографско снимање носа</t>
  </si>
  <si>
    <t>60100-00</t>
  </si>
  <si>
    <t>Томографија</t>
  </si>
  <si>
    <t>55036-00</t>
  </si>
  <si>
    <t>Ултразвучни преглед абдомена</t>
  </si>
  <si>
    <t>55238-01</t>
  </si>
  <si>
    <t>Ултразвучни дуплекс преглед артерија или бајпаса доњих екстремитета, билатерални</t>
  </si>
  <si>
    <t>55244-01</t>
  </si>
  <si>
    <t>Ултразвучни дуплекс преглед вена доњих екстремитета, билатерални</t>
  </si>
  <si>
    <t>55248-01</t>
  </si>
  <si>
    <t>Ултразвучни дуплекс преглед артерија или бајпаса горњих екстремитетаи</t>
  </si>
  <si>
    <t>55252-01</t>
  </si>
  <si>
    <t>Ултразвучни дуплекс преглед вена горњих екстремитета, билатерални</t>
  </si>
  <si>
    <t>55274-00</t>
  </si>
  <si>
    <t>Ултразвучни дуплекс преглед екстракранијалних, каротидних и верт. Крвних судова (са или без контраста)</t>
  </si>
  <si>
    <t>55276-00</t>
  </si>
  <si>
    <t>Ултразвучни дуплекс преглед аорте интраабдоминалних и илијацних артерија или доње супље вене</t>
  </si>
  <si>
    <t>55278-00</t>
  </si>
  <si>
    <t>Ултразвучни дуплекс преглед реналних или висцералних крвих судова</t>
  </si>
  <si>
    <t>Ултразвучни преглед дојки</t>
  </si>
  <si>
    <t>НАПОМЕНА</t>
  </si>
  <si>
    <t>Доплер* (1 апарат и 2 смене)</t>
  </si>
  <si>
    <t>Гин. акуш. Одељење</t>
  </si>
  <si>
    <t>Гинекологија и акушерство</t>
  </si>
  <si>
    <t>Табела 13.</t>
  </si>
  <si>
    <t>Здравствене услуге у Дневним болницама</t>
  </si>
  <si>
    <r>
      <rPr>
        <sz val="12"/>
        <rFont val="Times New Roman"/>
        <family val="1"/>
      </rPr>
      <t>Убацивање интраутериног уређаја (</t>
    </r>
    <r>
      <rPr>
        <i/>
        <sz val="12"/>
        <rFont val="Times New Roman"/>
        <family val="1"/>
      </rPr>
      <t>IUD</t>
    </r>
    <r>
      <rPr>
        <sz val="12"/>
        <rFont val="Times New Roman"/>
        <family val="1"/>
      </rPr>
      <t>)</t>
    </r>
  </si>
  <si>
    <t>УКУПНО ДИЈ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</si>
  <si>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</si>
  <si>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</si>
  <si>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Интерно одељење</t>
  </si>
  <si>
    <t>Дечије одељење</t>
  </si>
  <si>
    <t>L000018</t>
  </si>
  <si>
    <t>узорковање крви (микроузорковање)</t>
  </si>
  <si>
    <t>L000026</t>
  </si>
  <si>
    <t>узорковање крви (венепункција)</t>
  </si>
  <si>
    <t>L014084</t>
  </si>
  <si>
    <t>L014100</t>
  </si>
  <si>
    <t>L014118</t>
  </si>
  <si>
    <t>Леукоцитарна формула (Леф)-ручно</t>
  </si>
  <si>
    <t>L014142</t>
  </si>
  <si>
    <t>L014159</t>
  </si>
  <si>
    <t>L014183</t>
  </si>
  <si>
    <t>L014209</t>
  </si>
  <si>
    <t>Седиментација еритроцита (СЕ)</t>
  </si>
  <si>
    <t>L014720</t>
  </si>
  <si>
    <t>L015271</t>
  </si>
  <si>
    <t>Време крварења (дуке)</t>
  </si>
  <si>
    <t>L000414</t>
  </si>
  <si>
    <t>Хемоглобин А1Ц (глицерински хемоглобин ,ХБА1) у крви</t>
  </si>
  <si>
    <t>L001057</t>
  </si>
  <si>
    <t>Аланин амино трансфераза (АЛТ) у серуму - спектрофотометрија</t>
  </si>
  <si>
    <t>L001081</t>
  </si>
  <si>
    <t>Албумин у серуму-спектрофотометријом</t>
  </si>
  <si>
    <t>L001198</t>
  </si>
  <si>
    <t>Алфа амилаѕа у серуму -спектрофотометријом</t>
  </si>
  <si>
    <t>L001255</t>
  </si>
  <si>
    <t>Алкална фосфатаѕа (АЛП) у серуму -спектрофотометријом</t>
  </si>
  <si>
    <t>L001651</t>
  </si>
  <si>
    <t>Аспарат амнотрансфераза (АСТ) у серуму</t>
  </si>
  <si>
    <t>L001891</t>
  </si>
  <si>
    <t>Билирубин (директан) у серуму -спектрофотометријом</t>
  </si>
  <si>
    <t>L001917</t>
  </si>
  <si>
    <t>Билирубин (укупан) у серуму</t>
  </si>
  <si>
    <t>L002055</t>
  </si>
  <si>
    <t>Ц реактивни протеини (црп) у серуму -имунотурбидиметријом</t>
  </si>
  <si>
    <t>L002493</t>
  </si>
  <si>
    <t>Фосфор ,неоргански у серуму</t>
  </si>
  <si>
    <t>L002543</t>
  </si>
  <si>
    <t>Гама-глутамил трансфераѕа (гама ГТ) у серуму</t>
  </si>
  <si>
    <t>L002618</t>
  </si>
  <si>
    <t xml:space="preserve">Глугоза у серуму </t>
  </si>
  <si>
    <t>L002667</t>
  </si>
  <si>
    <t>Гвожђе у серуму</t>
  </si>
  <si>
    <t>L002816</t>
  </si>
  <si>
    <t>Холестерол (укупан) у серуму-спекрофотометријом</t>
  </si>
  <si>
    <t>L002857</t>
  </si>
  <si>
    <t>Холестерол,ХДЛ -у серуму -спектрофотометријом</t>
  </si>
  <si>
    <t>L002873</t>
  </si>
  <si>
    <t>L003749</t>
  </si>
  <si>
    <t>Калцијум у серуму</t>
  </si>
  <si>
    <t>L003954</t>
  </si>
  <si>
    <t>Кисела фосфатаза (АЦП) укупна у серуму</t>
  </si>
  <si>
    <t>L003962</t>
  </si>
  <si>
    <t>Кисела фосфатаза (АЦП) простатична кисела ,ПАП у серуму</t>
  </si>
  <si>
    <t>L004234</t>
  </si>
  <si>
    <t>Креатинин киназа (ЦК) у серуму</t>
  </si>
  <si>
    <t>L004317</t>
  </si>
  <si>
    <t>Креатинин у серуму -спектрофотометријом</t>
  </si>
  <si>
    <t>L004416</t>
  </si>
  <si>
    <t>Лактат денидогенеза(ЛДХ) у серуму</t>
  </si>
  <si>
    <t>L004812</t>
  </si>
  <si>
    <t>Мокраћна киселина у серуму</t>
  </si>
  <si>
    <t>L005439</t>
  </si>
  <si>
    <t>Протеини (укупни) у серуму-спектрофотометрија</t>
  </si>
  <si>
    <t>L005843</t>
  </si>
  <si>
    <t>Тибц(укупни капцитет везивања гвожђа) у серуму</t>
  </si>
  <si>
    <t>L006072</t>
  </si>
  <si>
    <t>Триглицериди у серуму</t>
  </si>
  <si>
    <t>L006254</t>
  </si>
  <si>
    <t>Уреа у серуму</t>
  </si>
  <si>
    <t>L006239</t>
  </si>
  <si>
    <t>УИБЦ (низасићени капацитет везивања гвожђа) у серуму</t>
  </si>
  <si>
    <t>L012401</t>
  </si>
  <si>
    <t>Хемоглобин(ктв) у фецесу-имунохемијски</t>
  </si>
  <si>
    <t>L012419</t>
  </si>
  <si>
    <t>Хемоглобин (крв9 у фецесу -ензимски</t>
  </si>
  <si>
    <t>Узорковање других биолошких материјала</t>
  </si>
  <si>
    <t>L015263</t>
  </si>
  <si>
    <t>L003780</t>
  </si>
  <si>
    <t>Калијум у серуму јон селективном електродом</t>
  </si>
  <si>
    <t>L004879</t>
  </si>
  <si>
    <t>Натријум у серуму јон селективном електродом</t>
  </si>
  <si>
    <t xml:space="preserve">L002766 </t>
  </si>
  <si>
    <t>Хлориди у серуму јон селективном електродом</t>
  </si>
  <si>
    <t>L004655</t>
  </si>
  <si>
    <t>Магнезијум у серуму спектрофотометрија</t>
  </si>
  <si>
    <t>L014415</t>
  </si>
  <si>
    <t>L000703</t>
  </si>
  <si>
    <t xml:space="preserve">pCO2 (parcijalni pritisak ugljen-dioksida) u krvi </t>
  </si>
  <si>
    <t>L000711</t>
  </si>
  <si>
    <t xml:space="preserve">pH krvi </t>
  </si>
  <si>
    <t>L008037</t>
  </si>
  <si>
    <t xml:space="preserve">L-laktat u plazmi </t>
  </si>
  <si>
    <t>Hemoglobin (Hb) u krvi</t>
  </si>
  <si>
    <t>Имунохемија</t>
  </si>
  <si>
    <t>L005876</t>
  </si>
  <si>
    <t>Тиреостимулирајући хормон (тиротропин, ТСХ) у серуму - ФПИА, МЕИА, ЦМИА односно ЕЦЛИА</t>
  </si>
  <si>
    <t>L005967</t>
  </si>
  <si>
    <t>Тироксин, укупан (Т4) у серуму - ФПИА, МЕИА, ЦМИА односно ЕЦЛИА</t>
  </si>
  <si>
    <t>L005942</t>
  </si>
  <si>
    <t>Тироксин, слободан (фТ4) у серуму - ФПИА, МЕИА, ЦМИА односно ЕЦЛИА</t>
  </si>
  <si>
    <t>L006080</t>
  </si>
  <si>
    <t>Тријодтиронин, слободан (фТ3) у серуму - ФПИА, МЕИА односно ЦМИА</t>
  </si>
  <si>
    <t>L001800</t>
  </si>
  <si>
    <t>Бета-хориогонадотропин, укупан (бета-хЦГ, βхЦГ) у серуму - ФПИА/МЕИА, ЦМИА односно ЕЦЛИА</t>
  </si>
  <si>
    <t>L001214</t>
  </si>
  <si>
    <t>Алфа-фетопротеин (АФП) у серуму</t>
  </si>
  <si>
    <t>L003848</t>
  </si>
  <si>
    <t xml:space="preserve">Карцинома антиген ЦА 125 (ЦА 125) у серуму </t>
  </si>
  <si>
    <t>L003863</t>
  </si>
  <si>
    <t>Карцинома антиген ЦА 19-9 (ЦА 19-9) у серуму</t>
  </si>
  <si>
    <t>L003855</t>
  </si>
  <si>
    <t>Карцинома антиген ЦА 15-3 (ЦА 15-3) у серуму</t>
  </si>
  <si>
    <t>L005355</t>
  </si>
  <si>
    <t xml:space="preserve">Простатични специфични антиген, укупан (ПСА) у серуму - ФПИА, МЕИА, ЦМИА односно ЕЦЛИА </t>
  </si>
  <si>
    <t>L003830</t>
  </si>
  <si>
    <t>Карциноембриони антиген (ЦЕА) у серуму</t>
  </si>
  <si>
    <t>L005132</t>
  </si>
  <si>
    <t xml:space="preserve">Паратхормон (паратироидни хормон, ПТХ) у серуму - ЦМИА односно ЕЦЛИА </t>
  </si>
  <si>
    <t>L006171</t>
  </si>
  <si>
    <t>Тропонин И у серуму</t>
  </si>
  <si>
    <t>L006106</t>
  </si>
  <si>
    <t>Тријодтиронин, укупан (Т3) у серуму - ФПИА, МЕИА, ЦМИА</t>
  </si>
  <si>
    <t>L005330</t>
  </si>
  <si>
    <t>Фри ПСА</t>
  </si>
  <si>
    <t xml:space="preserve">L005801 </t>
  </si>
  <si>
    <t xml:space="preserve">Тестостерон укупан </t>
  </si>
  <si>
    <t>Преглед урина анализе укупно</t>
  </si>
  <si>
    <t>L008979</t>
  </si>
  <si>
    <t>Целокупни преглед урина-ручно</t>
  </si>
  <si>
    <t>L008912</t>
  </si>
  <si>
    <t>Алфа-амилаѕа у урину</t>
  </si>
  <si>
    <t>L009019</t>
  </si>
  <si>
    <t>Фосфор,неоргански у урину</t>
  </si>
  <si>
    <t>L009035</t>
  </si>
  <si>
    <t>Глукоза у урину</t>
  </si>
  <si>
    <t>L009043</t>
  </si>
  <si>
    <t>Хемоглобин (крв) у урину</t>
  </si>
  <si>
    <t>L009241</t>
  </si>
  <si>
    <t>Калцијум у урину</t>
  </si>
  <si>
    <t>L009266</t>
  </si>
  <si>
    <t xml:space="preserve">Кетонска тела (ацетон) у урину </t>
  </si>
  <si>
    <t>L009399</t>
  </si>
  <si>
    <t>ПХ урина</t>
  </si>
  <si>
    <t>L009456</t>
  </si>
  <si>
    <t>Протеини у урину-сулфосалцилуом киселином</t>
  </si>
  <si>
    <t>L009472</t>
  </si>
  <si>
    <t>Седимент урина</t>
  </si>
  <si>
    <t>L009506</t>
  </si>
  <si>
    <t>Уробилиноген у урину</t>
  </si>
  <si>
    <t>Мерење запремине 24 сата ,дневног урина</t>
  </si>
  <si>
    <t>L010173</t>
  </si>
  <si>
    <t>Калцијум у дневном урину</t>
  </si>
  <si>
    <t>Фосфор неоргански у дневном урину</t>
  </si>
  <si>
    <t>L010264</t>
  </si>
  <si>
    <t>Креатинин клиренс у дневном урину</t>
  </si>
  <si>
    <t>L010561</t>
  </si>
  <si>
    <t>панкреасна амилаза у дневном урину</t>
  </si>
  <si>
    <t>L010595</t>
  </si>
  <si>
    <t>Протеини(укупни) у дневном урину</t>
  </si>
  <si>
    <t>L008953</t>
  </si>
  <si>
    <t>Целокупни преглед урина-аутоматски</t>
  </si>
  <si>
    <t>L019166</t>
  </si>
  <si>
    <t>Бактериолошки преглед бриса носа</t>
  </si>
  <si>
    <t>L019174</t>
  </si>
  <si>
    <t>Бактериолошки преглед бриса носа на клицоноше</t>
  </si>
  <si>
    <t>L019182</t>
  </si>
  <si>
    <t>Бактериолошки преглед бриса површинских рана и спољнег ушног канала</t>
  </si>
  <si>
    <t>L019190</t>
  </si>
  <si>
    <t>Бактериолошки преглед бриса спољних гениталија вагине или цервикса или урете</t>
  </si>
  <si>
    <t>L019208</t>
  </si>
  <si>
    <t>Бактериолошки преглед бриса ждрела</t>
  </si>
  <si>
    <t>L019216</t>
  </si>
  <si>
    <t>Бактериолошки преглед бриса ждрела на клицоноштво</t>
  </si>
  <si>
    <t>L019224</t>
  </si>
  <si>
    <t>Бактериолошки преглед бриса дубоке ране односно пунктата односно ексудата односно биоптата</t>
  </si>
  <si>
    <t>L019232</t>
  </si>
  <si>
    <t>Бактериолошки преглед експримата простате или сперме</t>
  </si>
  <si>
    <t>L019265</t>
  </si>
  <si>
    <t>Бактериолошки преглед искашљаја или трахеалног аспирата или бронхоалввеоларног лавата</t>
  </si>
  <si>
    <t>L019315</t>
  </si>
  <si>
    <t>Бактериолошки преглед ока или коњуктиве</t>
  </si>
  <si>
    <t>L019331</t>
  </si>
  <si>
    <t>Бактериолошки преглед столице на салмонелла спп,слигела спп,есерихија коли 0157/campylobacteria</t>
  </si>
  <si>
    <t>L019349</t>
  </si>
  <si>
    <t xml:space="preserve">Бактериолошки преглед столице Campjlobacter vrste </t>
  </si>
  <si>
    <t>L019364</t>
  </si>
  <si>
    <t>Бактериолошки преглед столице на Yersiniae enterocolitica</t>
  </si>
  <si>
    <t>L019380</t>
  </si>
  <si>
    <t>Бактериолошки преглед узорака на N.gonorrhoeae</t>
  </si>
  <si>
    <t>L019414</t>
  </si>
  <si>
    <t>Биохемијска идентификација анаеробних бактерија до нивоа врста</t>
  </si>
  <si>
    <t>L019422</t>
  </si>
  <si>
    <t>Биохемијска идентификација бета хемолитицног стрептокока</t>
  </si>
  <si>
    <t>L019430</t>
  </si>
  <si>
    <t>Биохемијска идентификација ентеробактерија тестовима припремлјених у лабораторији</t>
  </si>
  <si>
    <t>L019448</t>
  </si>
  <si>
    <t>Биохемијска идентификација Euterococcus врста</t>
  </si>
  <si>
    <t>L019463</t>
  </si>
  <si>
    <t>Биохемијска идентификација Staplylococcus врста</t>
  </si>
  <si>
    <t>L019471</t>
  </si>
  <si>
    <t>Биохемијска идентификација Стрептококус пнеумонас</t>
  </si>
  <si>
    <t>L019711</t>
  </si>
  <si>
    <t>Детекција бета лактамаѕа проширеног спектра за  е 0 бактерије</t>
  </si>
  <si>
    <t>L019760</t>
  </si>
  <si>
    <t>Детакција метало бета лактамаза за е 0 бактерије</t>
  </si>
  <si>
    <t>L019869</t>
  </si>
  <si>
    <t>Хемокултура аеробно</t>
  </si>
  <si>
    <t>L019885</t>
  </si>
  <si>
    <t>Хемокултура анаеробно</t>
  </si>
  <si>
    <t>L019893</t>
  </si>
  <si>
    <t>Идентификација анаеробних бактерија до нивоа рода</t>
  </si>
  <si>
    <t>L019927</t>
  </si>
  <si>
    <t>Идентификација Haemophilus врста факторима раста</t>
  </si>
  <si>
    <t>L019943</t>
  </si>
  <si>
    <t>Идентификација Салмонела спп,Сигела спп или есер.коли</t>
  </si>
  <si>
    <t>L019992</t>
  </si>
  <si>
    <t>Испитивање антибиограмске осетљивости бактерија диск-цлит метобон на другу и трећу линију</t>
  </si>
  <si>
    <t>L020008</t>
  </si>
  <si>
    <t>Испитивање осетљивости антибиограмске бактерија диск-дифузионом методом на прву линију</t>
  </si>
  <si>
    <t>L020149</t>
  </si>
  <si>
    <t>Изолација микроорганизама субкултуром</t>
  </si>
  <si>
    <t>L020206</t>
  </si>
  <si>
    <t>Микроскопски преглед бојења препарата</t>
  </si>
  <si>
    <t>L020248</t>
  </si>
  <si>
    <t>Одређивање вредности МИК за један антибиотик</t>
  </si>
  <si>
    <t>L020271</t>
  </si>
  <si>
    <t>Преглед вагиналног бриса на бактерије вагиноѕу изолацијом уурочника</t>
  </si>
  <si>
    <t>L020289</t>
  </si>
  <si>
    <t>Преглед вагиналног бриса на бактерије вагиноѕу прегледом бојеног препарата</t>
  </si>
  <si>
    <t>L020339</t>
  </si>
  <si>
    <t>Серолошка идентификација серогрупе салмонела</t>
  </si>
  <si>
    <t>L020354</t>
  </si>
  <si>
    <t>Serološka identifikacija Shigella vrsta</t>
  </si>
  <si>
    <t>L020396</t>
  </si>
  <si>
    <t>Уринокултура</t>
  </si>
  <si>
    <t>L021030</t>
  </si>
  <si>
    <t>Идентификација паразита ( хелминти)</t>
  </si>
  <si>
    <t>L021238</t>
  </si>
  <si>
    <t>Преглед на Trichomonas v direktan nativni prep.</t>
  </si>
  <si>
    <t>L021253</t>
  </si>
  <si>
    <t>Преглед перионалног отиксана хелминте</t>
  </si>
  <si>
    <t>L021295</t>
  </si>
  <si>
    <t>Преглед столице на ларве хелмината</t>
  </si>
  <si>
    <t>L021311</t>
  </si>
  <si>
    <t>Преглед столице на паразите нативни преп.</t>
  </si>
  <si>
    <t>L021329</t>
  </si>
  <si>
    <t>Преглед столице на протозое бојени преп.</t>
  </si>
  <si>
    <t>Преглед узортака на демодикозу</t>
  </si>
  <si>
    <t>L021485</t>
  </si>
  <si>
    <t>Директан нативни препарат на гљиве уз додатак рег.</t>
  </si>
  <si>
    <t>L021568</t>
  </si>
  <si>
    <t>Изолакса гљива из струготина коже и њених аднекса</t>
  </si>
  <si>
    <t>L021659</t>
  </si>
  <si>
    <t>Преглед бриса на гљиве</t>
  </si>
  <si>
    <t>L021675</t>
  </si>
  <si>
    <t>Преглед и идентификација квасница</t>
  </si>
  <si>
    <t>L021691</t>
  </si>
  <si>
    <t>Преглед осталих биолошких узорака на гљиве</t>
  </si>
  <si>
    <t>L019844</t>
  </si>
  <si>
    <t>Dokazivanje prisustva toksina Clostridiuma tok A iB</t>
  </si>
  <si>
    <t>L019513</t>
  </si>
  <si>
    <t>Detekcija helicobacter pylori</t>
  </si>
  <si>
    <t>L020909</t>
  </si>
  <si>
    <t>Brzi test za detekciju antigena cryptosporidium</t>
  </si>
  <si>
    <t>L020438</t>
  </si>
  <si>
    <t>Detekcija antigena rota virusa u stolici</t>
  </si>
  <si>
    <t>L019141</t>
  </si>
  <si>
    <t>Бактериолошки преглед биолошког материјала на бактерије рода - групе Цорyнебацтериум</t>
  </si>
  <si>
    <t>L019547</t>
  </si>
  <si>
    <t>Детекција антигена Легионелла пнеумопхила (у урину) - тестом имуноаглутинације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</si>
  <si>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</si>
  <si>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</si>
  <si>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</si>
  <si>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</si>
  <si>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</si>
  <si>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</si>
  <si>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L026575-025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</si>
  <si>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</si>
  <si>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</si>
  <si>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</si>
  <si>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</si>
  <si>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</si>
  <si>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болдиране услуге су старе,а црвене су нове</t>
  </si>
  <si>
    <t>Oстале терапије обогаћене кисеоником</t>
  </si>
  <si>
    <t>Интрамускуларно давање фармаколошког средства ,стереоид</t>
  </si>
  <si>
    <t>Интрамускуларно давање фармаколошког средства ,друго и неозначено фармаколошко средство</t>
  </si>
  <si>
    <t>Интравенскио давање фармаколошког средства ,анти инфективно средство</t>
  </si>
  <si>
    <t>Интравенско давање фармаколошког средства ,електролит</t>
  </si>
  <si>
    <t>Општа болница Алексинац</t>
  </si>
  <si>
    <t xml:space="preserve">ЦИТОСТАТИЦИ СА Б ЛИСТЕ </t>
  </si>
  <si>
    <t>0037092</t>
  </si>
  <si>
    <t>L02AE04</t>
  </si>
  <si>
    <t>DIPHERELINE</t>
  </si>
  <si>
    <t>ampula</t>
  </si>
  <si>
    <t>1 po 11.25 mg</t>
  </si>
  <si>
    <t>0037093</t>
  </si>
  <si>
    <t>1 po 22,5mg</t>
  </si>
  <si>
    <t>N003608</t>
  </si>
  <si>
    <t>L03AX03</t>
  </si>
  <si>
    <t>BCG MEDAC</t>
  </si>
  <si>
    <t>-</t>
  </si>
  <si>
    <t>1039397</t>
  </si>
  <si>
    <t>L01XE01</t>
  </si>
  <si>
    <t>ALVOTINIB</t>
  </si>
  <si>
    <t>tableta</t>
  </si>
  <si>
    <t>30 po 400 mg</t>
  </si>
  <si>
    <t>IMATINIB</t>
  </si>
  <si>
    <t>120 po 100 mg</t>
  </si>
  <si>
    <t>0034151</t>
  </si>
  <si>
    <t>L01BA01</t>
  </si>
  <si>
    <t>METOJECT</t>
  </si>
  <si>
    <t>inj.</t>
  </si>
  <si>
    <t>15mg/1.5ml</t>
  </si>
  <si>
    <t>L01AA01</t>
  </si>
  <si>
    <t>ENDOXAN</t>
  </si>
  <si>
    <t>prašak za rastvor za injekciju</t>
  </si>
  <si>
    <t>500 mg</t>
  </si>
  <si>
    <t>1000 mg</t>
  </si>
  <si>
    <t>L01BC02</t>
  </si>
  <si>
    <t>5-FLUOROURACIL "Ebewe"</t>
  </si>
  <si>
    <t>koncentrat za rastvor za injekciju/infuziju</t>
  </si>
  <si>
    <t xml:space="preserve">250 mg </t>
  </si>
  <si>
    <t>FLUOROURACIL - TEVA</t>
  </si>
  <si>
    <t>rastvor za injekciju/infuziju</t>
  </si>
  <si>
    <t>L01BC05</t>
  </si>
  <si>
    <t xml:space="preserve"> GEMCITABIN ◊  </t>
  </si>
  <si>
    <t>prašak za rastvor za infuziju</t>
  </si>
  <si>
    <t>200 mg</t>
  </si>
  <si>
    <t>GEMNIL ◊</t>
  </si>
  <si>
    <t>L01BC06</t>
  </si>
  <si>
    <t>CAPECITABINE PHARMASWISS ◊</t>
  </si>
  <si>
    <t>film tableta</t>
  </si>
  <si>
    <t>L01BC01</t>
  </si>
  <si>
    <t>ETOPOSID "Ebewe"</t>
  </si>
  <si>
    <t>koncentrat za rastvor za infuziju</t>
  </si>
  <si>
    <t>100 mg</t>
  </si>
  <si>
    <t>L01CD01</t>
  </si>
  <si>
    <t>Paclitaxel Kabi</t>
  </si>
  <si>
    <t>30 mg</t>
  </si>
  <si>
    <t>L01CD02</t>
  </si>
  <si>
    <t>DOCETAXEL ◊</t>
  </si>
  <si>
    <t>20 mg</t>
  </si>
  <si>
    <t>Docetaxel Actavis</t>
  </si>
  <si>
    <t>80 mg</t>
  </si>
  <si>
    <t>L01DB01</t>
  </si>
  <si>
    <t>DOXORUBICIN "Ebewe"</t>
  </si>
  <si>
    <t>10 mg</t>
  </si>
  <si>
    <t>50 mg</t>
  </si>
  <si>
    <t>L01DB03</t>
  </si>
  <si>
    <t>FARMORUBICIN R.D.</t>
  </si>
  <si>
    <t>injekcija</t>
  </si>
  <si>
    <t>EPIRUBICIN</t>
  </si>
  <si>
    <t>rastvor za injekciju/
infuziju</t>
  </si>
  <si>
    <t>L01XA01</t>
  </si>
  <si>
    <t xml:space="preserve">CISPLATIN "Ebewe" , SINPLATIN </t>
  </si>
  <si>
    <t>rastvor za infuziju</t>
  </si>
  <si>
    <t>L01XA02</t>
  </si>
  <si>
    <t>CARBOPLASIN</t>
  </si>
  <si>
    <t>150 mg</t>
  </si>
  <si>
    <t>450 mg</t>
  </si>
  <si>
    <t>L01XA03</t>
  </si>
  <si>
    <t>Oxaliplatin Kabi</t>
  </si>
  <si>
    <t>V03AF03</t>
  </si>
  <si>
    <t>LEUCOVORIN Kalcijum</t>
  </si>
  <si>
    <t>rastvor za injekciju</t>
  </si>
  <si>
    <t>ЦИТОСТАТИЦИ СА Ц ЛИСТЕ</t>
  </si>
  <si>
    <t xml:space="preserve">ЛЕКОВИ У ЗУ </t>
  </si>
  <si>
    <t>UM000009</t>
  </si>
  <si>
    <t>Полипропиленска мрежица за хернију 8x15 cm</t>
  </si>
  <si>
    <t>110</t>
  </si>
  <si>
    <t>Полипропиленска мрежица за хернију 15x15 cm</t>
  </si>
  <si>
    <t>14</t>
  </si>
  <si>
    <t>15</t>
  </si>
  <si>
    <t>Полипропиленска мрежица за хернију 30x30 cm</t>
  </si>
  <si>
    <t>2</t>
  </si>
  <si>
    <t>Полипропиленска мрежица за хернију 10x12 cm</t>
  </si>
  <si>
    <t>3</t>
  </si>
  <si>
    <t>1</t>
  </si>
  <si>
    <t>UM000004</t>
  </si>
  <si>
    <t>Стаплер циркуларни</t>
  </si>
  <si>
    <t>UM000008</t>
  </si>
  <si>
    <t>Пунњач за стаплер</t>
  </si>
  <si>
    <t>UM000024</t>
  </si>
  <si>
    <t>Клипс</t>
  </si>
  <si>
    <t>3. Кардиологија</t>
  </si>
  <si>
    <t>Тотална бесцементна протеза кука</t>
  </si>
  <si>
    <t>9</t>
  </si>
  <si>
    <t>Коштани цемент са антибиотиком</t>
  </si>
  <si>
    <t>Стем цементне протезе</t>
  </si>
  <si>
    <t>Свега</t>
  </si>
  <si>
    <t>Стем хибридне протезе тип 5</t>
  </si>
  <si>
    <t>Ацетабулум хибридне протезе тип 5</t>
  </si>
  <si>
    <t>Инсерт хибридне протезе тип 5</t>
  </si>
  <si>
    <t>Глава хибридне протезе тип 5</t>
  </si>
  <si>
    <t>Завртњи за хибридну протезу тип 5</t>
  </si>
  <si>
    <t>Стем биартикуларне протезе</t>
  </si>
  <si>
    <t>Биполарна глава и инсерт</t>
  </si>
  <si>
    <t>Глава биартикуларне протезе</t>
  </si>
  <si>
    <t>Феморална компонента</t>
  </si>
  <si>
    <t>Тибијална компонента</t>
  </si>
  <si>
    <t>Инсерт</t>
  </si>
  <si>
    <t>KK19085</t>
  </si>
  <si>
    <t>Пателарно дугме</t>
  </si>
  <si>
    <t>Унутрашњи фиксатор</t>
  </si>
  <si>
    <t>Спољашњи фиксатор ( клинови за фиксацију кости)</t>
  </si>
  <si>
    <t>4</t>
  </si>
  <si>
    <t>OR000111 ( STARA ŠIFRA OR000013)</t>
  </si>
  <si>
    <t>Киршнер игле</t>
  </si>
  <si>
    <t>OM077999</t>
  </si>
  <si>
    <t>Кортикални шрафови, спонгиозни шрафови, малеоларни шрафови, антиротациони канулирани завртњи</t>
  </si>
  <si>
    <t>Плочице ( л, т, заклјучавајуће, олучасте)</t>
  </si>
  <si>
    <t>Закључавајући шрафови</t>
  </si>
  <si>
    <t>Завртњи, са и без ушице</t>
  </si>
  <si>
    <t>Биоресорптивни завртњи са/без UHMWPE концима за лигаменте</t>
  </si>
  <si>
    <t>11. Урологија</t>
  </si>
  <si>
    <t>UM000001</t>
  </si>
  <si>
    <t xml:space="preserve">Остали уградни материјал у хирургији </t>
  </si>
  <si>
    <t>Имплантати ( ендопротезе) у ортопедији</t>
  </si>
  <si>
    <t>Уградни материјал у ортопедији</t>
  </si>
  <si>
    <t>Радиографија цервикалног дела кичме-читање</t>
  </si>
  <si>
    <t>Радиографија троракалног дела кичме-читање</t>
  </si>
  <si>
    <t>Радиографија лумбалносакралног дела кичме-читање</t>
  </si>
  <si>
    <t>Радиографија клавикуле-читање</t>
  </si>
  <si>
    <t>Радиографија рамена или скапуле-читање</t>
  </si>
  <si>
    <t>Радиографија хумеруса-читање</t>
  </si>
  <si>
    <t>Радиографија лакта-читање</t>
  </si>
  <si>
    <t>Радиографија подлактице-читање</t>
  </si>
  <si>
    <t>Радиографија ручног зглоба-читање</t>
  </si>
  <si>
    <t>Радиографија шаке-читање</t>
  </si>
  <si>
    <t>Радиографија стернума-читање</t>
  </si>
  <si>
    <t>Радиографија абдомена-читање</t>
  </si>
  <si>
    <t>Радиографија зглоба кука-читање</t>
  </si>
  <si>
    <t>Радиографија пелвиса-читање</t>
  </si>
  <si>
    <t>Радиографско снимање фемура-читање</t>
  </si>
  <si>
    <t>Радиографија колена-читање</t>
  </si>
  <si>
    <t>Радиографија глежња-читање</t>
  </si>
  <si>
    <t>Радиографија стопало-читање</t>
  </si>
  <si>
    <t>Радиографија параназалног синуса-читање</t>
  </si>
  <si>
    <t>57901-00</t>
  </si>
  <si>
    <t>Радиографско снимање лобање</t>
  </si>
  <si>
    <t>Радиографија лобање-читање</t>
  </si>
  <si>
    <t>Ултразвучни преглед штитасте жлезде</t>
  </si>
  <si>
    <t>Ултразвучни преглед скротума</t>
  </si>
  <si>
    <t>55812-00</t>
  </si>
  <si>
    <t>Ултразвучни преглед грудног коша или трбушног зида</t>
  </si>
  <si>
    <t>96199-00</t>
  </si>
  <si>
    <t>Интравенско давање антинеопластичног средства</t>
  </si>
  <si>
    <t>11709-00</t>
  </si>
  <si>
    <t>Холтер амбулаторно континуирано ЕКГ снимање</t>
  </si>
  <si>
    <t>напомена</t>
  </si>
  <si>
    <t>Услуге 30473-00 и 30473-01  смањене су у плану због неисправности гастроскопа.</t>
  </si>
  <si>
    <t>Uzimanje nazofaringealnog i/ili otolaringealnog brisa za pregled na prisustvo SARS-CoV-2 virusa u transportnu podlogu, u ambulanti</t>
  </si>
  <si>
    <t>Uzimanje nazofaringealnog i/ili otolaringealnog brisa za pregled na prisustvo SARS-CoV-2 virusa u transportnu podlogu, na terenu</t>
  </si>
  <si>
    <t>L020773</t>
  </si>
  <si>
    <t>Uzimanje uzoraka krvi punkcijom za dokazivanje prisustva antitela na virus SARS-CoV-2,u ambulanti</t>
  </si>
  <si>
    <t>L020770</t>
  </si>
  <si>
    <t>L020771</t>
  </si>
  <si>
    <t>L020777</t>
  </si>
  <si>
    <t>Kvalitativno određivanje IgM i/ili IgG antitela na virus SARS-CoV-2 imunohromatografskim testom</t>
  </si>
  <si>
    <t>L020787</t>
  </si>
  <si>
    <t>L020788</t>
  </si>
  <si>
    <t>Uzimanje materijala( nazofaringealni bris,saliva I dr) u cilju dokazivanja virusnogAg SARs-CoV-2</t>
  </si>
  <si>
    <t>Detekcija virusnog Ag SARs-CoV-2 kvalitativnom metodom</t>
  </si>
  <si>
    <t>Радиографија дојке,једнострано-читање</t>
  </si>
  <si>
    <t>Радиографија дојке,обострано-читање</t>
  </si>
  <si>
    <t>Радиографија уринарног система-читање</t>
  </si>
  <si>
    <t>Хистеросалпингографија-читање</t>
  </si>
  <si>
    <t>Радиографија  мастоидне кости-читање</t>
  </si>
  <si>
    <t>Радиографија темпоралномандибуларног зглоба-читање</t>
  </si>
  <si>
    <t>Радиографија  носа-читање</t>
  </si>
  <si>
    <t>Радиографија осталих фацијалних костију-читање</t>
  </si>
  <si>
    <t xml:space="preserve">ФИЗИКАЛНА МЕДИЦИНА И РЕХАБИЛИТАЦИЈА  </t>
  </si>
  <si>
    <t>Р.
бр</t>
  </si>
  <si>
    <t>КОРИСНИЦИ</t>
  </si>
  <si>
    <t>БРОЈ ПАЦИЈЕНАТА НА ТЕРАПИЈИ</t>
  </si>
  <si>
    <t>ТЕРАПИЈСКЕ И РЕХАБИЛИТАЦИОНЕ УСЛУГЕ</t>
  </si>
  <si>
    <t>ОСИГУРАНА ЛИЦА</t>
  </si>
  <si>
    <t>СВЕГА</t>
  </si>
  <si>
    <t>ЕЛЕКТРО</t>
  </si>
  <si>
    <r>
      <rPr>
        <sz val="9"/>
        <rFont val="Times New Roman"/>
        <family val="1"/>
      </rPr>
      <t xml:space="preserve">ТЕРМО </t>
    </r>
    <r>
      <rPr>
        <vertAlign val="superscript"/>
        <sz val="9"/>
        <rFont val="Times New Roman"/>
        <family val="1"/>
        <charset val="238"/>
      </rPr>
      <t>1</t>
    </r>
  </si>
  <si>
    <t>КИНЕЗИТЕРАПИЈА</t>
  </si>
  <si>
    <t>УЛТРА</t>
  </si>
  <si>
    <t>МАГНЕТ.</t>
  </si>
  <si>
    <t>ПАРАФИНО</t>
  </si>
  <si>
    <t xml:space="preserve">ОСИГУРАНА ЛИЦА </t>
  </si>
  <si>
    <t>ТЕРАПИЈА</t>
  </si>
  <si>
    <t>ИНДИВИДУАЛНА</t>
  </si>
  <si>
    <t>ГРУПНА</t>
  </si>
  <si>
    <t>ЗВУК</t>
  </si>
  <si>
    <t>АМБУЛАНТНИ</t>
  </si>
  <si>
    <t>СТАЦИОНАРНИ</t>
  </si>
  <si>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</rPr>
      <t xml:space="preserve">  Парафино, инфраруж и криотерапија</t>
    </r>
  </si>
  <si>
    <t xml:space="preserve">Табела 6a. </t>
  </si>
  <si>
    <t>Капацитети и коришћење везано за COVID 19</t>
  </si>
  <si>
    <t>Broj</t>
  </si>
  <si>
    <t>Pregledi  u ambulanti zbog sumnje na COVID-19  infekciju</t>
  </si>
  <si>
    <t>Lica pregledana u ambulanti zbog sumnje na COVID-19 infekciju</t>
  </si>
  <si>
    <t>Ukupno Pacijanati  sa potvrdjenom COVID-19 infekcijom koji su zadržani na bolničkom lečenju</t>
  </si>
  <si>
    <r>
      <t xml:space="preserve">Od ukupnog broja pacijenata koji su zadržani na bolničkom lečenju, broj pacijenata kojima </t>
    </r>
    <r>
      <rPr>
        <b/>
        <sz val="11"/>
        <rFont val="Calibri"/>
        <family val="2"/>
        <charset val="238"/>
      </rPr>
      <t>nije bila potrebna terapija kisonikom</t>
    </r>
  </si>
  <si>
    <r>
      <t xml:space="preserve">Od ukupnog broja pacijenata koji su zadržani na bolničkom lečenju, broj pacijenata, kojima je </t>
    </r>
    <r>
      <rPr>
        <b/>
        <sz val="11"/>
        <rFont val="Calibri"/>
        <family val="2"/>
        <charset val="238"/>
      </rPr>
      <t>bila potrebna terapija kisonikom</t>
    </r>
  </si>
  <si>
    <r>
      <t xml:space="preserve">Od ukupnog broja pacijenata koji su zadržani na bolničkom lečenju, broj pacijenata kojima je </t>
    </r>
    <r>
      <rPr>
        <b/>
        <sz val="11"/>
        <rFont val="Calibri"/>
        <family val="2"/>
        <charset val="238"/>
      </rPr>
      <t>bila potrebna mehanička ventilacija</t>
    </r>
  </si>
  <si>
    <t>Pružene usluge Rendgen dijagnostike za COVID-19 pacijente</t>
  </si>
  <si>
    <t>Pružene  usluge CT dijagnostike za COVID-19 pacijente</t>
  </si>
  <si>
    <t>Uzeti  brisevi za pregled na prisustvo SARS-CoV-2 virusa u transportnu podlogu</t>
  </si>
  <si>
    <t>Real-Time PCR testova na SARS-CoV-2 virus koji su urađeni u ustanovi</t>
  </si>
  <si>
    <t xml:space="preserve"> Brzi serološki testovi za određivanje IgM i/ili IgG antitela na virus SARS-CoV-2</t>
  </si>
  <si>
    <t>66120+ цена филтра</t>
  </si>
  <si>
    <t>Радиографија грудног коша - читање</t>
  </si>
  <si>
    <t>А57506-00</t>
  </si>
  <si>
    <t>А57506-01</t>
  </si>
  <si>
    <t>А57506-02</t>
  </si>
  <si>
    <t>А57506-03</t>
  </si>
  <si>
    <t>А57506-04</t>
  </si>
  <si>
    <t>А57518-00</t>
  </si>
  <si>
    <t>А57518-01</t>
  </si>
  <si>
    <t>А57518-03</t>
  </si>
  <si>
    <t>А57518-04</t>
  </si>
  <si>
    <t>А57700-00</t>
  </si>
  <si>
    <t>А57706-00</t>
  </si>
  <si>
    <t>А57712-00</t>
  </si>
  <si>
    <t>А57715-00</t>
  </si>
  <si>
    <t>А57901-00</t>
  </si>
  <si>
    <t>А57903-00</t>
  </si>
  <si>
    <t>А57906-00</t>
  </si>
  <si>
    <t>А57912-00</t>
  </si>
  <si>
    <t>А57915-00</t>
  </si>
  <si>
    <t>А57921-00</t>
  </si>
  <si>
    <t>А57927-00</t>
  </si>
  <si>
    <t>А58100-00</t>
  </si>
  <si>
    <t>А58103-00</t>
  </si>
  <si>
    <t>А58106-00</t>
  </si>
  <si>
    <t>А58500-00</t>
  </si>
  <si>
    <t>Радиографско снимање грудног коша</t>
  </si>
  <si>
    <t>А58521-00</t>
  </si>
  <si>
    <t>А58521-01</t>
  </si>
  <si>
    <t>А58524-00</t>
  </si>
  <si>
    <t>А58700-00</t>
  </si>
  <si>
    <t>А58715-00</t>
  </si>
  <si>
    <t>А58715-01</t>
  </si>
  <si>
    <t>А58718-00</t>
  </si>
  <si>
    <t>А58718-01</t>
  </si>
  <si>
    <t>А58721-00</t>
  </si>
  <si>
    <t>А58900-00</t>
  </si>
  <si>
    <t>А58927-00</t>
  </si>
  <si>
    <t>А59300-00</t>
  </si>
  <si>
    <t>А59303-00</t>
  </si>
  <si>
    <t xml:space="preserve">А59712-00 </t>
  </si>
  <si>
    <t>L000075</t>
  </si>
  <si>
    <t>Acidobazni status (pH, PO2, pCO2) u krvi</t>
  </si>
  <si>
    <t>L0140027</t>
  </si>
  <si>
    <t>L000208</t>
  </si>
  <si>
    <t>Bikarbonati (ugljen-dioksid, ukupan) u krvi POCT metodom</t>
  </si>
  <si>
    <t>L020786</t>
  </si>
  <si>
    <t>Kvantitativno određivanje  IgG antitela na  SARS-CoV-2 imunotestovima u automatizovanim sistemima</t>
  </si>
  <si>
    <t>35649-00</t>
  </si>
  <si>
    <t>Биопсија вулве</t>
  </si>
  <si>
    <t>35615-00</t>
  </si>
  <si>
    <t>56221-00</t>
  </si>
  <si>
    <t>56223-00</t>
  </si>
  <si>
    <t>КТ кичме,цервикална регија</t>
  </si>
  <si>
    <t>56220-00</t>
  </si>
  <si>
    <t>56407-00</t>
  </si>
  <si>
    <t>КТ грудног коша -читање</t>
  </si>
  <si>
    <t>56307-00</t>
  </si>
  <si>
    <t>КТ мозга читање</t>
  </si>
  <si>
    <t>КТ мозга са интравенском променом кс -снимање</t>
  </si>
  <si>
    <t>56007-00</t>
  </si>
  <si>
    <t>96200-00</t>
  </si>
  <si>
    <t>Субкутано давање фармаколошког средства, антинеоплатично</t>
  </si>
  <si>
    <t>Интравенско давање фармаколошког средства ,храњива супстанца</t>
  </si>
  <si>
    <t>Интравенско давање фармаколошког средства ,друго и некласификовано фармаколошко средство</t>
  </si>
  <si>
    <t>Интравенско давање фармаколошког средства ,стереоид</t>
  </si>
  <si>
    <t>Пратња или транспорт</t>
  </si>
  <si>
    <t>L202107</t>
  </si>
  <si>
    <t>Detekcija prisustva  i ispitivanje antibiotske osetljivosti U.urealyticum I M.hominis</t>
  </si>
  <si>
    <t>35597-00</t>
  </si>
  <si>
    <t>Лапараскопска сакрална колпопеkсија</t>
  </si>
  <si>
    <t>35680-00</t>
  </si>
  <si>
    <t>Лапараскопска реконструкција материце и потпорних структура</t>
  </si>
  <si>
    <t>Лапараскопска радикална нефректомија</t>
  </si>
  <si>
    <t>30644-01</t>
  </si>
  <si>
    <t>Експлорација сператичне врпце</t>
  </si>
  <si>
    <t>30414-00</t>
  </si>
  <si>
    <t>30439-00</t>
  </si>
  <si>
    <t>Интраоперативна холангиографија</t>
  </si>
  <si>
    <t>30523-00</t>
  </si>
  <si>
    <t>Субтотална гастрецтомија</t>
  </si>
  <si>
    <t>30075-37</t>
  </si>
  <si>
    <t>Биопсија перитонеума</t>
  </si>
  <si>
    <t>30562-05</t>
  </si>
  <si>
    <t>Затварање стоме дебелог црева</t>
  </si>
  <si>
    <t>32142-01</t>
  </si>
  <si>
    <t>Ексцизија аналног полипа</t>
  </si>
  <si>
    <t>92061-00</t>
  </si>
  <si>
    <t>Суспензија материце</t>
  </si>
  <si>
    <t>Експлоративна лапароскопија</t>
  </si>
  <si>
    <t>0037091</t>
  </si>
  <si>
    <t>1 po 3.75mg</t>
  </si>
  <si>
    <t>L01CA04</t>
  </si>
  <si>
    <t>VINORELBIN 50 MG</t>
  </si>
  <si>
    <t>VINORELBIN 10 MG</t>
  </si>
  <si>
    <t>METOTREKSAT</t>
  </si>
  <si>
    <t>L01XX19</t>
  </si>
  <si>
    <t>IRINOTEKAN</t>
  </si>
  <si>
    <t>40 mg</t>
  </si>
  <si>
    <t>L01AX04</t>
  </si>
  <si>
    <t>DAKARBAZIN</t>
  </si>
  <si>
    <t>500mg</t>
  </si>
  <si>
    <t>L02AE03</t>
  </si>
  <si>
    <t>ZOLADEX</t>
  </si>
  <si>
    <t>3,6 mg</t>
  </si>
  <si>
    <t>KK19038 I KK21042</t>
  </si>
  <si>
    <t>KK19039 I KK21049</t>
  </si>
  <si>
    <t>KK19015 I KK21015</t>
  </si>
  <si>
    <t>KK19016 I KK21016</t>
  </si>
  <si>
    <t>KK19017 I KK21017</t>
  </si>
  <si>
    <t>KK19014 I KK21014</t>
  </si>
  <si>
    <t>KK19039 I KK21043</t>
  </si>
  <si>
    <t>KK19062 I KK21060</t>
  </si>
  <si>
    <t>KK19082 I KK21079</t>
  </si>
  <si>
    <t>KK19083 I KK21080</t>
  </si>
  <si>
    <t>KK19084 I KK21081</t>
  </si>
  <si>
    <t>2022.</t>
  </si>
  <si>
    <t>РФЗО старт 2022.</t>
  </si>
  <si>
    <t>План 2022.</t>
  </si>
  <si>
    <t>Екцизија промене  јетре</t>
  </si>
  <si>
    <t>Ентероентеростомија</t>
  </si>
  <si>
    <t>Фибриноген у плазми, коагулометрија</t>
  </si>
  <si>
    <t>Крвна слика са троделном леукоцитарном формулом</t>
  </si>
  <si>
    <t>Време коагулације (Lee White) у плазми,коагулометрија</t>
  </si>
  <si>
    <t>KT мозга са интравенском применом конт.средсва</t>
  </si>
  <si>
    <t>56001002</t>
  </si>
  <si>
    <t>56307001</t>
  </si>
  <si>
    <t>56301002</t>
  </si>
  <si>
    <t>КТ грудног коша са и.в.применом контр. сретства</t>
  </si>
  <si>
    <t>КТ грудног коша са и.в.применом кс -снимање</t>
  </si>
  <si>
    <t>КТ абдомена са и.в.применом контр.средства</t>
  </si>
  <si>
    <t>56407001</t>
  </si>
  <si>
    <t>КТ абдомена са и.в.применом контр.сред.-снимање</t>
  </si>
  <si>
    <t>56401002</t>
  </si>
  <si>
    <t>КТ абдомена - читање</t>
  </si>
  <si>
    <t>КТ кичме,лумбосакрална регија</t>
  </si>
  <si>
    <t>КТ кичме,торакалне регије</t>
  </si>
  <si>
    <t>Крвна слика са петоделном леукоцитарном формулом</t>
  </si>
  <si>
    <t xml:space="preserve"> Број еритроцита (ЕР) у крви, микроскопија</t>
  </si>
  <si>
    <t xml:space="preserve"> Броја тромбоцита (ТР) у крви, микроскопија</t>
  </si>
  <si>
    <t xml:space="preserve"> Броја леукоцита (ЛЕ) у крви, микроскопија</t>
  </si>
  <si>
    <t>Д-димер у плазми,имунопреципитација</t>
  </si>
  <si>
    <t>L021345</t>
  </si>
  <si>
    <t>L019372</t>
  </si>
  <si>
    <t>Bakterioloski pregled tecnosti ili tkiva iz primarno sterilnih podrucja</t>
  </si>
  <si>
    <t>L019406</t>
  </si>
  <si>
    <t>Biohemijska indetifikacija aerobnih bakterija komercijalnim testom</t>
  </si>
  <si>
    <t>L020115</t>
  </si>
  <si>
    <t>Izolacija Legionella vrsta</t>
  </si>
  <si>
    <t>L021667</t>
  </si>
  <si>
    <t>Infetifikacija dermatofita</t>
  </si>
  <si>
    <t>L021121</t>
  </si>
  <si>
    <t>Parazitoloski pregled klinickog uzorka (osim stolice)-pregled nativnog preparata</t>
  </si>
  <si>
    <t>L019945</t>
  </si>
  <si>
    <t>Biohemijska indetifikacija Salmonella enterica subs.enterica</t>
  </si>
  <si>
    <t>L019946</t>
  </si>
  <si>
    <t>Biohemijska indetifikacija Shigella spp.</t>
  </si>
  <si>
    <t xml:space="preserve">Хистеротомија </t>
  </si>
  <si>
    <t>35596-01</t>
  </si>
  <si>
    <t>Корекција везиковагиналне фистуле вагиналним путем</t>
  </si>
  <si>
    <t>ЗА 2023. ГОДИНУ</t>
  </si>
  <si>
    <t xml:space="preserve"> Usluge planirane za 2023.god.</t>
  </si>
  <si>
    <t>План за 2023.</t>
  </si>
  <si>
    <t>План за 2023</t>
  </si>
  <si>
    <t>Планиран број процедура за пацијенте који су на листи чекања за 2023.</t>
  </si>
  <si>
    <t>Планиран укупан број процедура за које се воде листе чекања за 2023.</t>
  </si>
  <si>
    <t xml:space="preserve">Укупан број пацијената на листи чекања на дан 31.12.2022. </t>
  </si>
  <si>
    <t>Број нових пацијената на листи чекања у 2022.</t>
  </si>
  <si>
    <t>Просечна дужина чекања у данима 2022.</t>
  </si>
  <si>
    <t>Извршено у 2022.</t>
  </si>
  <si>
    <t>Број пацијената са листе чекања којима је урађена  процедура/интервенција 2022</t>
  </si>
  <si>
    <t>Укупан број свих пацијената којима је урађена интервенција/процедура у ЗУ 2022</t>
  </si>
  <si>
    <t>Извр. I-XII  2022</t>
  </si>
  <si>
    <t xml:space="preserve">Извр. I-XII 2022 </t>
  </si>
  <si>
    <t>35647-00</t>
  </si>
  <si>
    <t>Лооп ексцизија</t>
  </si>
  <si>
    <t>36624-00</t>
  </si>
  <si>
    <t>37219-00</t>
  </si>
  <si>
    <t>36845-05</t>
  </si>
  <si>
    <t>36845-04</t>
  </si>
  <si>
    <t>36840-02</t>
  </si>
  <si>
    <t>37203-00</t>
  </si>
  <si>
    <t>Перкутана нефростомија</t>
  </si>
  <si>
    <t>Трансректална биопсија простате иглом</t>
  </si>
  <si>
    <t>Ендоскопска ресекција мултипна лезија мокраћне бешике</t>
  </si>
  <si>
    <t>Ендоскопска ресекција појединачне лезије мокраћне бешике</t>
  </si>
  <si>
    <t>Трансуретерална ресекција простате</t>
  </si>
  <si>
    <t>30375-09</t>
  </si>
  <si>
    <t>Екцизија мекеловог дивертиклума</t>
  </si>
  <si>
    <t>32005-01</t>
  </si>
  <si>
    <t>проширена десна хемиколектомија</t>
  </si>
  <si>
    <t>30375-11</t>
  </si>
  <si>
    <t>редукција интусусцефиенције дебело црева</t>
  </si>
  <si>
    <t>32024-00</t>
  </si>
  <si>
    <t>висока предња ресекција ректума</t>
  </si>
  <si>
    <t>32159-00</t>
  </si>
  <si>
    <t>ексцизија аналне фистуле</t>
  </si>
  <si>
    <t>ампутација прста на руци</t>
  </si>
  <si>
    <t>90951-00</t>
  </si>
  <si>
    <t>фиксација дебелог црева</t>
  </si>
  <si>
    <t>Апликација лека на кожу</t>
  </si>
  <si>
    <t xml:space="preserve">Субкутано давање фармаколошког средства другои </t>
  </si>
  <si>
    <t>Oксиметрија</t>
  </si>
  <si>
    <t>Извршено у I-XII 2022.</t>
  </si>
  <si>
    <t>1039392,1039394</t>
  </si>
  <si>
    <t>0034326, 0034023</t>
  </si>
  <si>
    <t>0034008, 0034551</t>
  </si>
  <si>
    <t>0034550, 0034431</t>
  </si>
  <si>
    <t>1034442, 1034343, 1034445</t>
  </si>
  <si>
    <t>0030111, 0030122</t>
  </si>
  <si>
    <t>0031223, 0031330</t>
  </si>
  <si>
    <t>0031332, 0031224</t>
  </si>
  <si>
    <t>0031306, 0031312</t>
  </si>
  <si>
    <t>0031307, 0031313</t>
  </si>
  <si>
    <t>30243, 0030240</t>
  </si>
  <si>
    <t>0031383, 0031364, 0031402</t>
  </si>
  <si>
    <t>0031382, 0031365, 0031403</t>
  </si>
  <si>
    <t>L02AE02</t>
  </si>
  <si>
    <t>ELIGARD</t>
  </si>
  <si>
    <t>45 mg</t>
  </si>
  <si>
    <t>РФЗО цитостатици</t>
  </si>
  <si>
    <t>РФЗО лекови у ЗУ</t>
  </si>
  <si>
    <t>Извршенo у I-XII 2022.</t>
  </si>
  <si>
    <t>94</t>
  </si>
  <si>
    <t>Полипропиленска мрежица за хернију 40X16 cm</t>
  </si>
  <si>
    <t>UM000000</t>
  </si>
  <si>
    <t>Такери</t>
  </si>
  <si>
    <t>Videti napomenu</t>
  </si>
  <si>
    <t>KK21115</t>
  </si>
  <si>
    <t>KK19048 I KK21043</t>
  </si>
  <si>
    <t>Глава цементне протезе</t>
  </si>
  <si>
    <t>Ацетабулум цементне  протезе</t>
  </si>
  <si>
    <t>Тотална цементна протеза кука</t>
  </si>
  <si>
    <t>20</t>
  </si>
  <si>
    <t>KK19013, KK21013, KK21001</t>
  </si>
  <si>
    <t>Стем бесцементне протезе протезе, тип  5,1</t>
  </si>
  <si>
    <t>KK19014, KK21014, KK21002</t>
  </si>
  <si>
    <t>Ацетабулум бесцементне протезе, тип 5,1</t>
  </si>
  <si>
    <t>KK19015 I KK21015, KK21003</t>
  </si>
  <si>
    <t>Инсерт бесцементне протезе, тип 5,1</t>
  </si>
  <si>
    <t>KK19016 I KK21016, KK21004</t>
  </si>
  <si>
    <t>Глава бесцементне протезе, тип 5,1</t>
  </si>
  <si>
    <t>Завртњи за бесцементну протезу, тип 5,1</t>
  </si>
  <si>
    <t>87</t>
  </si>
  <si>
    <t>70</t>
  </si>
  <si>
    <t>Тотална хибридна протеза кука</t>
  </si>
  <si>
    <t>Парцијална протеза биартикуларна</t>
  </si>
  <si>
    <t>Тотална цементна протеза колена</t>
  </si>
  <si>
    <t>ОR000117, BP21167 (STARA ŠIFRA OR000019)</t>
  </si>
  <si>
    <t>OR000151 ( STARA ŠIFRA OR000031),BP20138</t>
  </si>
  <si>
    <t>8</t>
  </si>
  <si>
    <t>Слинг за СУИ жена</t>
  </si>
  <si>
    <t xml:space="preserve">Слинг за СУИ мушкараца </t>
  </si>
  <si>
    <t>Извршење I-XII 2022.</t>
  </si>
  <si>
    <t>Plan za ugradni materija u hirurgiji- Izmena šifrarnika RFZO-a promenila je KPP šifru za staplere pa se dobra više ne finansiraju sa ove pozicije. Inače, usluge se i dalje vrše u istom obimu, samo se dobra više ne fakturišu ( nalaze se na spisku medicinskih sresstava koja se ne fakturišu kroz elektronsku fakturu ka RFZO-u)</t>
  </si>
  <si>
    <t>Извршено I-XII 2022.</t>
  </si>
  <si>
    <t>SMPM RFZO</t>
  </si>
  <si>
    <t>Холестерол ЛДЛ у серуму</t>
  </si>
  <si>
    <t>L002380</t>
  </si>
  <si>
    <t>Феритин у серуму, имунотурбидиметрија</t>
  </si>
  <si>
    <t>L004176</t>
  </si>
  <si>
    <t>Кортизол у серуму/плазми CMIA/ECLIA/CLIA/TRACE</t>
  </si>
  <si>
    <t>L005298</t>
  </si>
  <si>
    <t xml:space="preserve">Прокалцитонин (ПЦТ) у серуму/плазми CMIA/ECLIA/CLIA/TRACE/ELFA </t>
  </si>
  <si>
    <t>L005306</t>
  </si>
  <si>
    <t>Пролактин (ПРЛ) у серуму/плазми CMIA/ECLIA/CLIA/TRACE</t>
  </si>
  <si>
    <t>L005256</t>
  </si>
  <si>
    <t>Прогестерон (П4) у серуму/плазми CMIA/ECLIA/CLIA/TRACE</t>
  </si>
  <si>
    <t>L002295</t>
  </si>
  <si>
    <t>Естрадиол (Е2), укупан у серуму/плазми CMIA/ECLIA/CLIA/TRACE</t>
  </si>
  <si>
    <t>L006594</t>
  </si>
  <si>
    <t xml:space="preserve">ГнРХ (Gonadotropin-releasing hormone) тест; ФСХ i ЛХ у серуму, CMIA/CLIA/ECLIA </t>
  </si>
  <si>
    <t>56001-00</t>
  </si>
  <si>
    <t>КТ мозга</t>
  </si>
  <si>
    <t>56234-00</t>
  </si>
  <si>
    <t>кт кичме са ив применом кс</t>
  </si>
  <si>
    <t>56412-00</t>
  </si>
  <si>
    <t>кт  карлице са ив применом кс</t>
  </si>
  <si>
    <t>56507-00</t>
  </si>
  <si>
    <t>кт абдомена и карлице са ив. примрном кс</t>
  </si>
  <si>
    <t>56619-00</t>
  </si>
  <si>
    <t>кт екстремитета</t>
  </si>
  <si>
    <t>56625-00</t>
  </si>
  <si>
    <t>кт екстремитета са ив применом кс</t>
  </si>
  <si>
    <t>кт циљаног зглоба екстремитета нативно</t>
  </si>
  <si>
    <t>кт урографија</t>
  </si>
  <si>
    <t>57007-01</t>
  </si>
  <si>
    <t>кт мозга,грудног коша и абдомена са ив кс</t>
  </si>
  <si>
    <t>57350-00</t>
  </si>
  <si>
    <t>спир ангиографија кт главе и/или врата са ив кс</t>
  </si>
  <si>
    <t>57350-02</t>
  </si>
  <si>
    <t>спир ангиографија кт грудног коша са ив кс</t>
  </si>
  <si>
    <t>57350-03</t>
  </si>
  <si>
    <t>спир ангиографија кт абдомена са ив кс</t>
  </si>
  <si>
    <t>57350-04</t>
  </si>
  <si>
    <t>спир ангиографија кт абд. и илијофем. Аорте д.екс.</t>
  </si>
  <si>
    <t>57350-07</t>
  </si>
  <si>
    <t>спир анфиогтафија кт доњих екс са ив кс</t>
  </si>
  <si>
    <t>57350-08</t>
  </si>
  <si>
    <t>спир ангиографија кт осталих области са ив кс</t>
  </si>
  <si>
    <t>Извршење за 2022.</t>
  </si>
  <si>
    <t>Субкутано давање фармаколошког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</si>
</sst>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_)@"/>
    <numFmt numFmtId="166" formatCode="0;0;;@"/>
    <numFmt numFmtId="167" formatCode="#"/>
    <numFmt numFmtId="168" formatCode="000000"/>
    <numFmt numFmtId="169" formatCode="0000000"/>
    <numFmt numFmtId="170" formatCode="_-* ###,0&quot;.&quot;00\ &quot;Din.&quot;_-;\-* ###,0&quot;.&quot;00\ &quot;Din.&quot;_-;_-* &quot;-&quot;??\ &quot;Din.&quot;_-;_-@_-"/>
    <numFmt numFmtId="171" formatCode="_-* ###,0\.00&quot; Din.&quot;_-;\-* ###,0\.00&quot; Din.&quot;_-;_-* \-??&quot; Din.&quot;_-;_-@_-"/>
  </numFmts>
  <fonts count="179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b/>
      <sz val="10"/>
      <name val="HelveticaPlain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</font>
    <font>
      <sz val="10"/>
      <name val="HelveticaPlain"/>
      <charset val="1"/>
    </font>
    <font>
      <sz val="8"/>
      <name val="Arial"/>
      <family val="2"/>
      <charset val="1"/>
    </font>
    <font>
      <b/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HelveticaPlain"/>
      <charset val="238"/>
    </font>
    <font>
      <sz val="9"/>
      <color indexed="57"/>
      <name val="Cambria"/>
      <family val="1"/>
    </font>
    <font>
      <i/>
      <sz val="12"/>
      <name val="Times New Roman"/>
      <family val="1"/>
    </font>
    <font>
      <sz val="11"/>
      <name val="Cambria"/>
      <family val="1"/>
    </font>
    <font>
      <b/>
      <sz val="11"/>
      <name val="Arial"/>
      <family val="2"/>
      <charset val="238"/>
    </font>
    <font>
      <sz val="12"/>
      <color indexed="8"/>
      <name val="Times New Roman"/>
      <family val="1"/>
    </font>
    <font>
      <sz val="10"/>
      <color indexed="18"/>
      <name val="Arial"/>
      <family val="2"/>
      <charset val="238"/>
    </font>
    <font>
      <sz val="14"/>
      <name val="Times New Roman"/>
      <family val="1"/>
    </font>
    <font>
      <b/>
      <sz val="9"/>
      <name val="Times New Roman"/>
      <family val="1"/>
      <charset val="238"/>
    </font>
    <font>
      <sz val="9"/>
      <name val="HelveticaPlain"/>
    </font>
    <font>
      <sz val="10"/>
      <name val="HelveticaPlain"/>
    </font>
    <font>
      <sz val="8"/>
      <name val="Calibri"/>
      <family val="1"/>
    </font>
    <font>
      <b/>
      <sz val="8"/>
      <color indexed="56"/>
      <name val="Calibri"/>
      <family val="1"/>
    </font>
    <font>
      <b/>
      <sz val="9"/>
      <color indexed="54"/>
      <name val="Cambria"/>
      <family val="1"/>
    </font>
    <font>
      <sz val="9"/>
      <color indexed="54"/>
      <name val="Cambria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  <font>
      <b/>
      <sz val="8"/>
      <color theme="1"/>
      <name val="CHelvPlain"/>
    </font>
    <font>
      <b/>
      <u/>
      <sz val="10"/>
      <color rgb="FFFF0000"/>
      <name val="Arial"/>
      <family val="2"/>
    </font>
    <font>
      <b/>
      <i/>
      <u/>
      <sz val="11"/>
      <name val="Arial"/>
      <family val="2"/>
    </font>
    <font>
      <sz val="8"/>
      <name val="Arial"/>
      <family val="2"/>
      <charset val="238"/>
    </font>
    <font>
      <b/>
      <i/>
      <u/>
      <sz val="10"/>
      <color rgb="FFFF0000"/>
      <name val="Arial"/>
      <family val="2"/>
    </font>
    <font>
      <b/>
      <sz val="11"/>
      <color indexed="8"/>
      <name val="Calibri"/>
      <family val="2"/>
      <charset val="238"/>
    </font>
    <font>
      <sz val="8"/>
      <name val="Calibri"/>
      <family val="1"/>
      <charset val="1"/>
    </font>
    <font>
      <u/>
      <sz val="10"/>
      <color rgb="FF0000FF"/>
      <name val="HelveticaPlain"/>
      <charset val="1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39"/>
      <name val="Calibri"/>
      <family val="1"/>
    </font>
    <font>
      <b/>
      <sz val="8"/>
      <color indexed="12"/>
      <name val="Calibri"/>
      <family val="1"/>
    </font>
    <font>
      <b/>
      <sz val="8"/>
      <color indexed="63"/>
      <name val="Calibri"/>
      <family val="1"/>
    </font>
    <font>
      <b/>
      <sz val="8"/>
      <color indexed="25"/>
      <name val="Calibri"/>
      <family val="1"/>
    </font>
    <font>
      <b/>
      <sz val="8"/>
      <color indexed="62"/>
      <name val="Calibri"/>
      <family val="1"/>
    </font>
    <font>
      <b/>
      <i/>
      <u/>
      <sz val="10"/>
      <name val="Arial"/>
      <family val="2"/>
    </font>
    <font>
      <sz val="12"/>
      <name val="Arial"/>
      <family val="2"/>
      <charset val="238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i/>
      <u/>
      <sz val="12"/>
      <name val="Arial"/>
      <family val="2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10"/>
      <color theme="1"/>
      <name val="Arial"/>
      <family val="2"/>
    </font>
    <font>
      <b/>
      <sz val="12"/>
      <name val="CHelvPlain"/>
    </font>
    <font>
      <b/>
      <sz val="10"/>
      <name val="CHelvPlain"/>
    </font>
    <font>
      <vertAlign val="superscript"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CHelvPlain"/>
      <charset val="204"/>
    </font>
    <font>
      <vertAlign val="superscript"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sz val="11"/>
      <color rgb="FF800080"/>
      <name val="Calibri"/>
      <family val="2"/>
      <charset val="238"/>
    </font>
    <font>
      <b/>
      <sz val="11"/>
      <color rgb="FF0000FF"/>
      <name val="Arial"/>
      <family val="2"/>
      <charset val="1"/>
    </font>
    <font>
      <b/>
      <sz val="10"/>
      <color rgb="FF000000"/>
      <name val="Arial"/>
      <family val="2"/>
      <charset val="238"/>
    </font>
    <font>
      <i/>
      <sz val="11"/>
      <color rgb="FF7F7F7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8"/>
      <color rgb="FF000000"/>
      <name val="Cambria"/>
      <family val="1"/>
      <charset val="238"/>
    </font>
    <font>
      <b/>
      <sz val="8"/>
      <color rgb="FF262626"/>
      <name val="Calibri"/>
      <family val="1"/>
      <charset val="1"/>
    </font>
    <font>
      <b/>
      <sz val="8"/>
      <color rgb="FF3333CC"/>
      <name val="Calibri"/>
      <family val="1"/>
      <charset val="1"/>
    </font>
    <font>
      <b/>
      <sz val="8"/>
      <color rgb="FF0000FF"/>
      <name val="Calibri"/>
      <family val="1"/>
      <charset val="1"/>
    </font>
    <font>
      <b/>
      <sz val="8"/>
      <color rgb="FF424242"/>
      <name val="Calibri"/>
      <family val="1"/>
      <charset val="1"/>
    </font>
    <font>
      <b/>
      <sz val="8"/>
      <color rgb="FF802060"/>
      <name val="Calibri"/>
      <family val="1"/>
      <charset val="1"/>
    </font>
    <font>
      <b/>
      <sz val="8"/>
      <color rgb="FF333399"/>
      <name val="Calibri"/>
      <family val="1"/>
      <charset val="1"/>
    </font>
    <font>
      <b/>
      <sz val="11"/>
      <name val="Cambria"/>
      <family val="1"/>
      <charset val="1"/>
    </font>
    <font>
      <b/>
      <sz val="9"/>
      <color rgb="FF336666"/>
      <name val="Cambria"/>
      <family val="1"/>
      <charset val="1"/>
    </font>
    <font>
      <sz val="9"/>
      <name val="Cambria"/>
      <family val="1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Times New Roman"/>
      <family val="1"/>
      <charset val="1"/>
    </font>
    <font>
      <b/>
      <sz val="12"/>
      <name val="Arial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38"/>
    </font>
    <font>
      <sz val="10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b/>
      <sz val="9"/>
      <color indexed="57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u/>
      <sz val="16"/>
      <color rgb="FFFF0000"/>
      <name val="Arial"/>
      <family val="2"/>
    </font>
    <font>
      <sz val="12"/>
      <color theme="1"/>
      <name val="Times New Roman"/>
      <family val="1"/>
      <charset val="1"/>
    </font>
    <font>
      <sz val="10"/>
      <color theme="1"/>
      <name val="Arial"/>
      <family val="2"/>
      <charset val="1"/>
    </font>
    <font>
      <sz val="10"/>
      <color rgb="FFFF0000"/>
      <name val="Arial"/>
      <family val="2"/>
    </font>
    <font>
      <sz val="8"/>
      <name val="Cambria"/>
      <family val="1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u/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3" tint="0.59999389629810485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indexed="44"/>
      </patternFill>
    </fill>
    <fill>
      <patternFill patternType="solid">
        <fgColor rgb="FFC0C0FF"/>
        <bgColor rgb="FFB9CDE5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B7E7E7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E7E7"/>
      </patternFill>
    </fill>
    <fill>
      <patternFill patternType="solid">
        <fgColor rgb="FFE3E3E3"/>
        <bgColor rgb="FFDCE6F2"/>
      </patternFill>
    </fill>
    <fill>
      <patternFill patternType="solid">
        <fgColor rgb="FFA6CAF0"/>
        <bgColor rgb="FFB9CDE5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969696"/>
      </patternFill>
    </fill>
    <fill>
      <patternFill patternType="solid">
        <fgColor rgb="FFB7E7E7"/>
        <bgColor rgb="FFA0E0E0"/>
      </patternFill>
    </fill>
    <fill>
      <patternFill patternType="solid">
        <fgColor rgb="FFFFFFCF"/>
        <bgColor rgb="FFFFFFC0"/>
      </patternFill>
    </fill>
    <fill>
      <patternFill patternType="solid">
        <fgColor rgb="FFFFFF99"/>
        <bgColor rgb="FFFFFFC0"/>
      </patternFill>
    </fill>
    <fill>
      <patternFill patternType="solid">
        <fgColor rgb="FFFFFFC0"/>
        <bgColor rgb="FFFFFFCF"/>
      </patternFill>
    </fill>
    <fill>
      <patternFill patternType="solid">
        <fgColor rgb="FFDCE6F2"/>
        <bgColor rgb="FFE3E3E3"/>
      </patternFill>
    </fill>
    <fill>
      <patternFill patternType="solid">
        <fgColor rgb="FFFFFFFF"/>
        <bgColor rgb="FFF0F0F0"/>
      </patternFill>
    </fill>
    <fill>
      <patternFill patternType="solid">
        <fgColor rgb="FFFFFF00"/>
        <bgColor rgb="FFFFC000"/>
      </patternFill>
    </fill>
    <fill>
      <patternFill patternType="solid">
        <fgColor rgb="FF00CCFF"/>
        <bgColor indexed="15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/>
    </fill>
  </fills>
  <borders count="1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medium">
        <color indexed="56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9"/>
      </top>
      <bottom style="double">
        <color indexed="39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24242"/>
      </left>
      <right style="thin">
        <color rgb="FF424242"/>
      </right>
      <top/>
      <bottom style="thin">
        <color rgb="FF424242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/>
      <diagonal/>
    </border>
    <border>
      <left style="double">
        <color rgb="FF00FF00"/>
      </left>
      <right style="double">
        <color rgb="FF00FF00"/>
      </right>
      <top style="double">
        <color rgb="FF00FF00"/>
      </top>
      <bottom style="double">
        <color rgb="FF00FF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auto="1"/>
      </bottom>
      <diagonal/>
    </border>
    <border>
      <left style="thin">
        <color rgb="FFA6CAF0"/>
      </left>
      <right/>
      <top style="thin">
        <color rgb="FFA6CAF0"/>
      </top>
      <bottom style="thin">
        <color rgb="FFA6CAF0"/>
      </bottom>
      <diagonal/>
    </border>
    <border>
      <left/>
      <right/>
      <top style="thin">
        <color rgb="FFA6CAF0"/>
      </top>
      <bottom style="thin">
        <color rgb="FFA6CAF0"/>
      </bottom>
      <diagonal/>
    </border>
    <border>
      <left/>
      <right style="thin">
        <color rgb="FFA6CAF0"/>
      </right>
      <top style="thin">
        <color rgb="FFA6CAF0"/>
      </top>
      <bottom style="thin">
        <color rgb="FFA6CAF0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424242"/>
      </bottom>
      <diagonal/>
    </border>
    <border>
      <left/>
      <right/>
      <top style="thin">
        <color rgb="FF424242"/>
      </top>
      <bottom style="thin">
        <color rgb="FF424242"/>
      </bottom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424242"/>
      </left>
      <right/>
      <top style="thin">
        <color rgb="FF424242"/>
      </top>
      <bottom style="thin">
        <color rgb="FF424242"/>
      </bottom>
      <diagonal/>
    </border>
    <border>
      <left style="thin">
        <color rgb="FF424242"/>
      </left>
      <right/>
      <top style="thin">
        <color rgb="FF424242"/>
      </top>
      <bottom/>
      <diagonal/>
    </border>
    <border>
      <left style="thin">
        <color rgb="FF424242"/>
      </left>
      <right/>
      <top/>
      <bottom/>
      <diagonal/>
    </border>
    <border>
      <left style="thin">
        <color rgb="FF424242"/>
      </left>
      <right/>
      <top/>
      <bottom style="thin">
        <color rgb="FF424242"/>
      </bottom>
      <diagonal/>
    </border>
    <border>
      <left style="thin">
        <color rgb="FF3333CC"/>
      </left>
      <right style="thin">
        <color rgb="FF3333CC"/>
      </right>
      <top/>
      <bottom style="thin">
        <color rgb="FF3333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medium">
        <color indexed="64"/>
      </left>
      <right/>
      <top style="medium">
        <color indexed="64"/>
      </top>
      <bottom style="thin">
        <color indexed="44"/>
      </bottom>
      <diagonal/>
    </border>
    <border>
      <left/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118">
    <xf numFmtId="0" fontId="0" fillId="0" borderId="0"/>
    <xf numFmtId="0" fontId="19" fillId="0" borderId="0">
      <alignment horizontal="left" vertical="center" indent="1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5" fillId="0" borderId="0"/>
    <xf numFmtId="0" fontId="47" fillId="0" borderId="0"/>
    <xf numFmtId="0" fontId="14" fillId="0" borderId="0"/>
    <xf numFmtId="0" fontId="46" fillId="0" borderId="0"/>
    <xf numFmtId="0" fontId="48" fillId="8" borderId="47">
      <alignment vertical="center"/>
    </xf>
    <xf numFmtId="0" fontId="49" fillId="0" borderId="47">
      <alignment horizontal="left" vertical="center" wrapText="1"/>
      <protection locked="0"/>
    </xf>
    <xf numFmtId="0" fontId="50" fillId="0" borderId="48" applyNumberFormat="0" applyFill="0" applyAlignment="0" applyProtection="0"/>
    <xf numFmtId="0" fontId="4" fillId="0" borderId="0"/>
    <xf numFmtId="0" fontId="48" fillId="15" borderId="47">
      <alignment vertical="center"/>
    </xf>
    <xf numFmtId="0" fontId="70" fillId="0" borderId="0"/>
    <xf numFmtId="0" fontId="14" fillId="0" borderId="0"/>
    <xf numFmtId="0" fontId="48" fillId="8" borderId="47">
      <alignment vertical="center"/>
    </xf>
    <xf numFmtId="0" fontId="14" fillId="0" borderId="0"/>
    <xf numFmtId="0" fontId="90" fillId="0" borderId="99">
      <alignment horizontal="left" vertical="center" wrapText="1"/>
      <protection locked="0"/>
    </xf>
    <xf numFmtId="0" fontId="91" fillId="22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3" fillId="0" borderId="0"/>
    <xf numFmtId="0" fontId="103" fillId="0" borderId="127" applyNumberFormat="0" applyFill="0" applyAlignment="0" applyProtection="0"/>
    <xf numFmtId="0" fontId="104" fillId="0" borderId="128">
      <alignment horizontal="left" vertical="center" wrapText="1"/>
      <protection locked="0"/>
    </xf>
    <xf numFmtId="0" fontId="5" fillId="0" borderId="0" applyNumberFormat="0" applyFill="0" applyBorder="0" applyAlignment="0" applyProtection="0"/>
    <xf numFmtId="0" fontId="105" fillId="0" borderId="0" applyBorder="0" applyProtection="0"/>
    <xf numFmtId="0" fontId="106" fillId="0" borderId="0"/>
    <xf numFmtId="0" fontId="107" fillId="0" borderId="0"/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91" fillId="29" borderId="99">
      <alignment vertical="center"/>
    </xf>
    <xf numFmtId="0" fontId="91" fillId="29" borderId="99">
      <alignment vertical="center"/>
    </xf>
    <xf numFmtId="0" fontId="91" fillId="29" borderId="99">
      <alignment vertical="center"/>
    </xf>
    <xf numFmtId="0" fontId="91" fillId="29" borderId="99">
      <alignment vertical="center"/>
    </xf>
    <xf numFmtId="0" fontId="91" fillId="29" borderId="99">
      <alignment vertical="center"/>
    </xf>
    <xf numFmtId="0" fontId="110" fillId="29" borderId="99">
      <alignment vertical="center"/>
    </xf>
    <xf numFmtId="0" fontId="110" fillId="29" borderId="99">
      <alignment vertical="center"/>
    </xf>
    <xf numFmtId="0" fontId="110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30" borderId="99">
      <alignment vertical="center"/>
    </xf>
    <xf numFmtId="0" fontId="112" fillId="30" borderId="99">
      <alignment vertical="center"/>
    </xf>
    <xf numFmtId="0" fontId="112" fillId="29" borderId="99">
      <alignment vertical="center"/>
    </xf>
    <xf numFmtId="0" fontId="112" fillId="22" borderId="99">
      <alignment vertical="center"/>
    </xf>
    <xf numFmtId="0" fontId="112" fillId="22" borderId="99">
      <alignment vertical="center"/>
    </xf>
    <xf numFmtId="0" fontId="112" fillId="29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30" borderId="99">
      <alignment vertical="center"/>
    </xf>
    <xf numFmtId="0" fontId="108" fillId="29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22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108" fillId="30" borderId="99">
      <alignment vertical="center"/>
    </xf>
    <xf numFmtId="0" fontId="109" fillId="29" borderId="99">
      <alignment vertical="center"/>
    </xf>
    <xf numFmtId="0" fontId="109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110" fillId="30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2" borderId="99">
      <alignment vertical="center"/>
    </xf>
    <xf numFmtId="0" fontId="108" fillId="29" borderId="99">
      <alignment vertical="center"/>
    </xf>
    <xf numFmtId="0" fontId="91" fillId="29" borderId="99">
      <alignment vertical="center"/>
    </xf>
    <xf numFmtId="0" fontId="108" fillId="22" borderId="99">
      <alignment vertical="center"/>
    </xf>
    <xf numFmtId="0" fontId="111" fillId="30" borderId="99">
      <alignment vertical="center"/>
    </xf>
    <xf numFmtId="0" fontId="111" fillId="29" borderId="99">
      <alignment vertical="center"/>
    </xf>
    <xf numFmtId="0" fontId="111" fillId="22" borderId="99">
      <alignment vertical="center"/>
    </xf>
    <xf numFmtId="0" fontId="110" fillId="29" borderId="99">
      <alignment vertical="center"/>
    </xf>
    <xf numFmtId="0" fontId="91" fillId="29" borderId="99">
      <alignment vertical="center"/>
    </xf>
    <xf numFmtId="0" fontId="91" fillId="22" borderId="99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48" fillId="15" borderId="47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91" fillId="29" borderId="99">
      <alignment vertical="center"/>
    </xf>
    <xf numFmtId="0" fontId="108" fillId="29" borderId="99">
      <alignment vertical="center"/>
    </xf>
    <xf numFmtId="0" fontId="108" fillId="22" borderId="99">
      <alignment vertical="center"/>
    </xf>
    <xf numFmtId="0" fontId="50" fillId="0" borderId="129" applyNumberFormat="0" applyFill="0" applyAlignment="0" applyProtection="0"/>
    <xf numFmtId="0" fontId="103" fillId="0" borderId="127" applyNumberFormat="0" applyFill="0" applyAlignment="0" applyProtection="0"/>
    <xf numFmtId="0" fontId="103" fillId="0" borderId="130" applyNumberFormat="0" applyFill="0" applyAlignment="0" applyProtection="0"/>
    <xf numFmtId="0" fontId="103" fillId="0" borderId="131" applyNumberFormat="0" applyFill="0" applyAlignment="0" applyProtection="0"/>
    <xf numFmtId="0" fontId="103" fillId="0" borderId="129" applyNumberFormat="0" applyFill="0" applyAlignment="0" applyProtection="0"/>
    <xf numFmtId="0" fontId="103" fillId="0" borderId="130" applyNumberFormat="0" applyFill="0" applyAlignment="0" applyProtection="0"/>
    <xf numFmtId="0" fontId="50" fillId="0" borderId="129" applyNumberFormat="0" applyFill="0" applyAlignment="0" applyProtection="0"/>
    <xf numFmtId="0" fontId="103" fillId="0" borderId="127" applyNumberFormat="0" applyFill="0" applyAlignment="0" applyProtection="0"/>
    <xf numFmtId="0" fontId="103" fillId="0" borderId="130" applyNumberFormat="0" applyFill="0" applyAlignment="0" applyProtection="0"/>
    <xf numFmtId="0" fontId="103" fillId="0" borderId="131" applyNumberFormat="0" applyFill="0" applyAlignment="0" applyProtection="0"/>
    <xf numFmtId="0" fontId="103" fillId="0" borderId="129" applyNumberFormat="0" applyFill="0" applyAlignment="0" applyProtection="0"/>
    <xf numFmtId="0" fontId="103" fillId="0" borderId="130" applyNumberFormat="0" applyFill="0" applyAlignment="0" applyProtection="0"/>
    <xf numFmtId="0" fontId="50" fillId="0" borderId="129" applyNumberFormat="0" applyFill="0" applyAlignment="0" applyProtection="0"/>
    <xf numFmtId="0" fontId="103" fillId="0" borderId="130" applyNumberFormat="0" applyFill="0" applyAlignment="0" applyProtection="0"/>
    <xf numFmtId="0" fontId="103" fillId="0" borderId="131" applyNumberFormat="0" applyFill="0" applyAlignment="0" applyProtection="0"/>
    <xf numFmtId="0" fontId="103" fillId="0" borderId="129" applyNumberFormat="0" applyFill="0" applyAlignment="0" applyProtection="0"/>
    <xf numFmtId="0" fontId="103" fillId="0" borderId="130" applyNumberFormat="0" applyFill="0" applyAlignment="0" applyProtection="0"/>
    <xf numFmtId="0" fontId="50" fillId="0" borderId="129" applyNumberFormat="0" applyFill="0" applyAlignment="0" applyProtection="0"/>
    <xf numFmtId="0" fontId="103" fillId="0" borderId="130" applyNumberFormat="0" applyFill="0" applyAlignment="0" applyProtection="0"/>
    <xf numFmtId="0" fontId="103" fillId="0" borderId="131" applyNumberFormat="0" applyFill="0" applyAlignment="0" applyProtection="0"/>
    <xf numFmtId="0" fontId="103" fillId="0" borderId="129" applyNumberFormat="0" applyFill="0" applyAlignment="0" applyProtection="0"/>
    <xf numFmtId="0" fontId="103" fillId="0" borderId="130" applyNumberFormat="0" applyFill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15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5" borderId="0" applyNumberFormat="0" applyBorder="0" applyAlignment="0" applyProtection="0"/>
    <xf numFmtId="0" fontId="40" fillId="15" borderId="0" applyNumberFormat="0" applyBorder="0" applyAlignment="0" applyProtection="0"/>
    <xf numFmtId="0" fontId="40" fillId="40" borderId="0" applyNumberFormat="0" applyBorder="0" applyAlignment="0" applyProtection="0"/>
    <xf numFmtId="0" fontId="118" fillId="35" borderId="0" applyNumberFormat="0" applyBorder="0" applyAlignment="0" applyProtection="0"/>
    <xf numFmtId="170" fontId="119" fillId="0" borderId="0" applyFont="0" applyFill="0" applyBorder="0" applyAlignment="0" applyProtection="0"/>
    <xf numFmtId="0" fontId="120" fillId="41" borderId="0" applyNumberFormat="0" applyBorder="0" applyAlignment="0" applyProtection="0"/>
    <xf numFmtId="0" fontId="120" fillId="42" borderId="0" applyNumberFormat="0" applyBorder="0" applyAlignment="0" applyProtection="0"/>
    <xf numFmtId="0" fontId="120" fillId="42" borderId="0" applyNumberFormat="0" applyBorder="0" applyAlignment="0" applyProtection="0"/>
    <xf numFmtId="0" fontId="14" fillId="43" borderId="138" applyNumberFormat="0" applyFont="0" applyAlignment="0" applyProtection="0"/>
    <xf numFmtId="0" fontId="14" fillId="43" borderId="138" applyNumberFormat="0" applyFont="0" applyAlignment="0" applyProtection="0"/>
    <xf numFmtId="0" fontId="40" fillId="0" borderId="0"/>
    <xf numFmtId="0" fontId="4" fillId="0" borderId="0"/>
    <xf numFmtId="0" fontId="14" fillId="0" borderId="0"/>
    <xf numFmtId="0" fontId="14" fillId="44" borderId="139" applyNumberFormat="0" applyFont="0" applyAlignment="0" applyProtection="0"/>
    <xf numFmtId="0" fontId="14" fillId="44" borderId="139" applyNumberFormat="0" applyFont="0" applyAlignment="0" applyProtection="0"/>
    <xf numFmtId="9" fontId="119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4" fillId="0" borderId="0"/>
    <xf numFmtId="0" fontId="13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0" fillId="0" borderId="0"/>
    <xf numFmtId="0" fontId="105" fillId="0" borderId="0"/>
    <xf numFmtId="0" fontId="134" fillId="46" borderId="0"/>
    <xf numFmtId="0" fontId="134" fillId="47" borderId="0"/>
    <xf numFmtId="0" fontId="134" fillId="48" borderId="0"/>
    <xf numFmtId="0" fontId="134" fillId="49" borderId="0"/>
    <xf numFmtId="0" fontId="134" fillId="50" borderId="0"/>
    <xf numFmtId="0" fontId="134" fillId="51" borderId="0"/>
    <xf numFmtId="0" fontId="134" fillId="52" borderId="0"/>
    <xf numFmtId="0" fontId="134" fillId="53" borderId="0"/>
    <xf numFmtId="0" fontId="134" fillId="54" borderId="0"/>
    <xf numFmtId="0" fontId="134" fillId="49" borderId="0"/>
    <xf numFmtId="0" fontId="134" fillId="52" borderId="0"/>
    <xf numFmtId="0" fontId="134" fillId="55" borderId="0"/>
    <xf numFmtId="0" fontId="135" fillId="49" borderId="0"/>
    <xf numFmtId="0" fontId="136" fillId="0" borderId="0">
      <alignment horizontal="left" vertical="center" indent="3"/>
    </xf>
    <xf numFmtId="171" fontId="70" fillId="0" borderId="0"/>
    <xf numFmtId="0" fontId="137" fillId="56" borderId="0"/>
    <xf numFmtId="0" fontId="137" fillId="57" borderId="0"/>
    <xf numFmtId="0" fontId="137" fillId="57" borderId="0"/>
    <xf numFmtId="0" fontId="138" fillId="0" borderId="0"/>
    <xf numFmtId="0" fontId="105" fillId="0" borderId="0"/>
    <xf numFmtId="0" fontId="105" fillId="0" borderId="0"/>
    <xf numFmtId="0" fontId="70" fillId="58" borderId="145"/>
    <xf numFmtId="0" fontId="70" fillId="58" borderId="145"/>
    <xf numFmtId="0" fontId="139" fillId="0" borderId="0"/>
    <xf numFmtId="0" fontId="140" fillId="0" borderId="0"/>
    <xf numFmtId="0" fontId="134" fillId="0" borderId="0"/>
    <xf numFmtId="0" fontId="139" fillId="0" borderId="0"/>
    <xf numFmtId="0" fontId="134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70" fillId="0" borderId="0"/>
    <xf numFmtId="0" fontId="142" fillId="0" borderId="0"/>
    <xf numFmtId="0" fontId="70" fillId="59" borderId="146"/>
    <xf numFmtId="0" fontId="70" fillId="59" borderId="146"/>
    <xf numFmtId="9" fontId="70" fillId="0" borderId="0"/>
    <xf numFmtId="0" fontId="143" fillId="0" borderId="0"/>
    <xf numFmtId="0" fontId="144" fillId="60" borderId="128">
      <alignment vertical="center"/>
    </xf>
    <xf numFmtId="0" fontId="104" fillId="0" borderId="128">
      <alignment horizontal="left" vertical="center" wrapText="1"/>
      <protection locked="0"/>
    </xf>
    <xf numFmtId="0" fontId="104" fillId="0" borderId="147">
      <alignment horizontal="left" vertical="center" wrapText="1"/>
      <protection locked="0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7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60" borderId="128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9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4" fillId="52" borderId="128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8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5" fillId="52" borderId="147">
      <alignment vertical="center"/>
    </xf>
    <xf numFmtId="0" fontId="147" fillId="52" borderId="147">
      <alignment vertical="center"/>
    </xf>
    <xf numFmtId="0" fontId="145" fillId="52" borderId="147">
      <alignment vertical="center"/>
    </xf>
    <xf numFmtId="0" fontId="146" fillId="52" borderId="147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4" fillId="60" borderId="128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</cellStyleXfs>
  <cellXfs count="1974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10" fillId="0" borderId="0" xfId="0" applyFont="1"/>
    <xf numFmtId="0" fontId="17" fillId="0" borderId="0" xfId="3" applyFont="1" applyProtection="1"/>
    <xf numFmtId="0" fontId="13" fillId="0" borderId="0" xfId="3" applyFont="1" applyAlignment="1" applyProtection="1"/>
    <xf numFmtId="3" fontId="17" fillId="0" borderId="0" xfId="3" applyNumberFormat="1" applyFont="1" applyProtection="1"/>
    <xf numFmtId="0" fontId="17" fillId="0" borderId="0" xfId="3" applyFont="1" applyAlignment="1" applyProtection="1">
      <alignment horizontal="center" vertical="center" wrapText="1"/>
    </xf>
    <xf numFmtId="0" fontId="7" fillId="0" borderId="0" xfId="3" applyFont="1" applyProtection="1"/>
    <xf numFmtId="3" fontId="17" fillId="0" borderId="0" xfId="3" applyNumberFormat="1" applyFont="1" applyAlignment="1" applyProtection="1">
      <alignment horizontal="center" vertical="center" wrapText="1"/>
    </xf>
    <xf numFmtId="0" fontId="17" fillId="0" borderId="0" xfId="3" applyFont="1" applyAlignment="1" applyProtection="1">
      <alignment horizontal="left" vertical="center" wrapText="1"/>
    </xf>
    <xf numFmtId="0" fontId="17" fillId="0" borderId="0" xfId="3" applyFont="1" applyAlignment="1" applyProtection="1">
      <alignment horizontal="left" wrapText="1"/>
    </xf>
    <xf numFmtId="0" fontId="17" fillId="0" borderId="0" xfId="3" applyFont="1" applyAlignment="1" applyProtection="1">
      <alignment wrapText="1"/>
    </xf>
    <xf numFmtId="3" fontId="17" fillId="0" borderId="0" xfId="3" applyNumberFormat="1" applyFont="1" applyAlignment="1" applyProtection="1">
      <alignment wrapText="1"/>
    </xf>
    <xf numFmtId="0" fontId="17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center" wrapText="1"/>
    </xf>
    <xf numFmtId="0" fontId="7" fillId="0" borderId="0" xfId="3" applyFont="1" applyAlignment="1" applyProtection="1">
      <alignment wrapText="1"/>
    </xf>
    <xf numFmtId="0" fontId="17" fillId="0" borderId="0" xfId="3" applyFont="1" applyFill="1" applyProtection="1"/>
    <xf numFmtId="0" fontId="6" fillId="0" borderId="0" xfId="0" applyFont="1"/>
    <xf numFmtId="0" fontId="6" fillId="0" borderId="0" xfId="0" applyFont="1" applyBorder="1"/>
    <xf numFmtId="0" fontId="7" fillId="0" borderId="0" xfId="3" applyFont="1" applyFill="1" applyProtection="1"/>
    <xf numFmtId="0" fontId="20" fillId="2" borderId="0" xfId="2" applyFont="1" applyFill="1" applyAlignment="1" applyProtection="1"/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" xfId="0" applyFont="1" applyFill="1" applyBorder="1"/>
    <xf numFmtId="3" fontId="13" fillId="0" borderId="0" xfId="3" applyNumberFormat="1" applyFont="1" applyProtection="1"/>
    <xf numFmtId="0" fontId="13" fillId="0" borderId="0" xfId="3" applyFont="1" applyProtection="1"/>
    <xf numFmtId="3" fontId="13" fillId="0" borderId="0" xfId="3" applyNumberFormat="1" applyFont="1" applyAlignment="1" applyProtection="1">
      <alignment horizontal="center" vertical="center" wrapText="1"/>
    </xf>
    <xf numFmtId="3" fontId="13" fillId="0" borderId="0" xfId="3" applyNumberFormat="1" applyFont="1" applyAlignment="1" applyProtection="1">
      <alignment wrapText="1"/>
    </xf>
    <xf numFmtId="0" fontId="7" fillId="0" borderId="0" xfId="3" applyFont="1" applyAlignment="1" applyProtection="1">
      <alignment horizontal="right"/>
    </xf>
    <xf numFmtId="0" fontId="7" fillId="0" borderId="0" xfId="3" applyFont="1" applyAlignment="1" applyProtection="1">
      <alignment horizontal="center" vertical="center" wrapText="1"/>
    </xf>
    <xf numFmtId="0" fontId="16" fillId="0" borderId="0" xfId="3" applyFont="1" applyProtection="1"/>
    <xf numFmtId="0" fontId="17" fillId="0" borderId="0" xfId="3" applyFont="1" applyAlignment="1" applyProtection="1"/>
    <xf numFmtId="0" fontId="23" fillId="0" borderId="0" xfId="0" applyFont="1" applyBorder="1"/>
    <xf numFmtId="0" fontId="0" fillId="0" borderId="0" xfId="0" applyBorder="1"/>
    <xf numFmtId="0" fontId="50" fillId="0" borderId="48" xfId="10"/>
    <xf numFmtId="0" fontId="17" fillId="0" borderId="0" xfId="3" applyFont="1" applyFill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2" fillId="0" borderId="0" xfId="3" applyFont="1" applyAlignment="1" applyProtection="1">
      <alignment horizontal="center"/>
    </xf>
    <xf numFmtId="49" fontId="14" fillId="0" borderId="0" xfId="3" applyNumberFormat="1" applyFont="1" applyFill="1" applyProtection="1"/>
    <xf numFmtId="0" fontId="14" fillId="0" borderId="0" xfId="3" applyFont="1" applyAlignment="1" applyProtection="1">
      <alignment horizontal="left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3" fontId="27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Protection="1">
      <protection locked="0"/>
    </xf>
    <xf numFmtId="0" fontId="27" fillId="0" borderId="1" xfId="0" applyFont="1" applyFill="1" applyBorder="1" applyProtection="1">
      <protection locked="0"/>
    </xf>
    <xf numFmtId="3" fontId="27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wrapText="1"/>
    </xf>
    <xf numFmtId="0" fontId="7" fillId="0" borderId="0" xfId="3" applyFont="1" applyBorder="1" applyAlignment="1" applyProtection="1">
      <alignment horizont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2" borderId="1" xfId="3" applyFont="1" applyFill="1" applyBorder="1" applyAlignment="1" applyProtection="1">
      <alignment horizontal="center" vertical="center" textRotation="90" wrapText="1"/>
    </xf>
    <xf numFmtId="0" fontId="27" fillId="0" borderId="1" xfId="0" applyFont="1" applyBorder="1" applyAlignment="1" applyProtection="1">
      <alignment horizontal="center" wrapText="1"/>
      <protection locked="0"/>
    </xf>
    <xf numFmtId="0" fontId="29" fillId="0" borderId="0" xfId="3" applyFont="1" applyFill="1" applyBorder="1" applyAlignment="1" applyProtection="1">
      <alignment horizontal="left" wrapText="1"/>
    </xf>
    <xf numFmtId="0" fontId="29" fillId="0" borderId="0" xfId="3" applyFont="1" applyFill="1" applyBorder="1" applyAlignment="1" applyProtection="1">
      <alignment horizontal="left"/>
    </xf>
    <xf numFmtId="0" fontId="27" fillId="0" borderId="1" xfId="3" applyFont="1" applyBorder="1" applyAlignment="1" applyProtection="1">
      <alignment horizontal="center" vertical="center" wrapText="1"/>
      <protection locked="0"/>
    </xf>
    <xf numFmtId="3" fontId="27" fillId="4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3" applyFont="1" applyBorder="1" applyAlignment="1" applyProtection="1">
      <alignment horizontal="center" vertical="center"/>
      <protection locked="0"/>
    </xf>
    <xf numFmtId="0" fontId="27" fillId="0" borderId="0" xfId="3" applyFont="1" applyProtection="1"/>
    <xf numFmtId="0" fontId="27" fillId="4" borderId="1" xfId="0" applyFont="1" applyFill="1" applyBorder="1" applyAlignment="1" applyProtection="1">
      <alignment horizontal="center" vertical="center" wrapText="1"/>
    </xf>
    <xf numFmtId="3" fontId="27" fillId="4" borderId="1" xfId="0" applyNumberFormat="1" applyFont="1" applyFill="1" applyBorder="1" applyAlignment="1" applyProtection="1">
      <alignment horizontal="center" vertical="center" wrapText="1"/>
    </xf>
    <xf numFmtId="3" fontId="27" fillId="0" borderId="1" xfId="3" applyNumberFormat="1" applyFont="1" applyFill="1" applyBorder="1" applyAlignment="1" applyProtection="1">
      <alignment horizontal="center" vertical="center" wrapText="1"/>
    </xf>
    <xf numFmtId="0" fontId="27" fillId="0" borderId="0" xfId="3" applyFont="1" applyBorder="1" applyAlignment="1" applyProtection="1">
      <alignment vertical="center" wrapText="1"/>
    </xf>
    <xf numFmtId="0" fontId="27" fillId="0" borderId="0" xfId="3" applyFont="1" applyBorder="1" applyAlignment="1" applyProtection="1">
      <alignment vertical="center"/>
    </xf>
    <xf numFmtId="0" fontId="27" fillId="0" borderId="1" xfId="0" applyFont="1" applyBorder="1" applyAlignment="1" applyProtection="1">
      <alignment horizontal="center"/>
      <protection locked="0"/>
    </xf>
    <xf numFmtId="0" fontId="14" fillId="0" borderId="0" xfId="3" applyFont="1" applyProtection="1"/>
    <xf numFmtId="0" fontId="27" fillId="0" borderId="1" xfId="3" applyFont="1" applyBorder="1" applyAlignment="1" applyProtection="1">
      <alignment vertical="center" wrapText="1"/>
    </xf>
    <xf numFmtId="3" fontId="50" fillId="0" borderId="48" xfId="10" applyNumberFormat="1"/>
    <xf numFmtId="0" fontId="14" fillId="0" borderId="0" xfId="3" applyNumberFormat="1" applyFont="1" applyFill="1" applyProtection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9" fillId="0" borderId="2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centerContinuous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25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 wrapText="1"/>
    </xf>
    <xf numFmtId="0" fontId="14" fillId="0" borderId="20" xfId="0" quotePrefix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" fontId="14" fillId="0" borderId="13" xfId="0" quotePrefix="1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5" borderId="28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16" fontId="14" fillId="5" borderId="27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49" fontId="0" fillId="0" borderId="1" xfId="0" applyNumberFormat="1" applyBorder="1"/>
    <xf numFmtId="0" fontId="2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0" fontId="29" fillId="0" borderId="0" xfId="3" applyFont="1" applyFill="1" applyBorder="1" applyAlignment="1" applyProtection="1">
      <alignment wrapText="1"/>
    </xf>
    <xf numFmtId="0" fontId="27" fillId="0" borderId="5" xfId="0" applyFont="1" applyFill="1" applyBorder="1" applyAlignment="1">
      <alignment horizontal="centerContinuous" vertical="center"/>
    </xf>
    <xf numFmtId="0" fontId="33" fillId="0" borderId="1" xfId="0" applyFont="1" applyFill="1" applyBorder="1" applyAlignment="1">
      <alignment horizontal="centerContinuous" vertical="center"/>
    </xf>
    <xf numFmtId="0" fontId="33" fillId="0" borderId="7" xfId="0" applyFont="1" applyFill="1" applyBorder="1" applyAlignment="1">
      <alignment horizontal="centerContinuous" vertical="center" wrapText="1"/>
    </xf>
    <xf numFmtId="0" fontId="27" fillId="0" borderId="3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26" fillId="0" borderId="0" xfId="0" applyFont="1" applyFill="1" applyBorder="1"/>
    <xf numFmtId="0" fontId="14" fillId="0" borderId="2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 applyProtection="1">
      <alignment vertical="center" wrapText="1"/>
    </xf>
    <xf numFmtId="0" fontId="14" fillId="0" borderId="18" xfId="0" applyFont="1" applyBorder="1" applyAlignment="1"/>
    <xf numFmtId="0" fontId="14" fillId="0" borderId="13" xfId="0" applyFont="1" applyBorder="1" applyAlignment="1"/>
    <xf numFmtId="0" fontId="14" fillId="0" borderId="13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Border="1"/>
    <xf numFmtId="0" fontId="14" fillId="0" borderId="31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165" fontId="42" fillId="6" borderId="34" xfId="8" applyNumberFormat="1" applyFont="1" applyFill="1" applyBorder="1" applyProtection="1">
      <alignment vertical="center"/>
    </xf>
    <xf numFmtId="165" fontId="42" fillId="6" borderId="34" xfId="8" applyNumberFormat="1" applyFont="1" applyFill="1" applyBorder="1" applyAlignment="1" applyProtection="1">
      <alignment horizontal="right" vertical="center"/>
    </xf>
    <xf numFmtId="166" fontId="43" fillId="0" borderId="35" xfId="9" applyNumberFormat="1" applyFont="1" applyBorder="1" applyAlignment="1" applyProtection="1">
      <alignment horizontal="left" vertical="center" indent="1"/>
    </xf>
    <xf numFmtId="166" fontId="44" fillId="0" borderId="35" xfId="9" applyNumberFormat="1" applyFont="1" applyBorder="1" applyAlignment="1" applyProtection="1">
      <alignment horizontal="left" vertical="center"/>
    </xf>
    <xf numFmtId="166" fontId="43" fillId="0" borderId="36" xfId="9" applyNumberFormat="1" applyFont="1" applyBorder="1" applyAlignment="1" applyProtection="1">
      <alignment horizontal="right" vertical="center"/>
    </xf>
    <xf numFmtId="166" fontId="43" fillId="0" borderId="37" xfId="9" applyNumberFormat="1" applyFont="1" applyBorder="1" applyAlignment="1" applyProtection="1">
      <alignment horizontal="right" vertical="center"/>
    </xf>
    <xf numFmtId="166" fontId="43" fillId="0" borderId="36" xfId="9" applyNumberFormat="1" applyFont="1" applyBorder="1" applyAlignment="1" applyProtection="1">
      <alignment horizontal="left" vertical="center" indent="1"/>
    </xf>
    <xf numFmtId="166" fontId="44" fillId="0" borderId="36" xfId="9" applyNumberFormat="1" applyFont="1" applyBorder="1" applyAlignment="1" applyProtection="1">
      <alignment horizontal="left" vertical="center"/>
    </xf>
    <xf numFmtId="166" fontId="43" fillId="0" borderId="37" xfId="9" applyNumberFormat="1" applyFont="1" applyBorder="1" applyAlignment="1" applyProtection="1">
      <alignment horizontal="left" vertical="center" indent="1"/>
    </xf>
    <xf numFmtId="166" fontId="44" fillId="0" borderId="37" xfId="9" applyNumberFormat="1" applyFont="1" applyBorder="1" applyAlignment="1" applyProtection="1">
      <alignment horizontal="left" vertical="center"/>
    </xf>
    <xf numFmtId="165" fontId="42" fillId="6" borderId="35" xfId="8" applyNumberFormat="1" applyFont="1" applyFill="1" applyBorder="1" applyProtection="1">
      <alignment vertical="center"/>
    </xf>
    <xf numFmtId="165" fontId="42" fillId="6" borderId="37" xfId="8" applyNumberFormat="1" applyFont="1" applyFill="1" applyBorder="1" applyAlignment="1" applyProtection="1">
      <alignment horizontal="right" vertical="center"/>
    </xf>
    <xf numFmtId="0" fontId="27" fillId="2" borderId="1" xfId="3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Continuous" vertical="center"/>
    </xf>
    <xf numFmtId="0" fontId="32" fillId="0" borderId="1" xfId="0" applyFont="1" applyBorder="1" applyAlignment="1">
      <alignment horizontal="centerContinuous" vertical="center"/>
    </xf>
    <xf numFmtId="164" fontId="29" fillId="2" borderId="1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1" xfId="0" applyFont="1" applyFill="1" applyBorder="1"/>
    <xf numFmtId="0" fontId="38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45" fillId="0" borderId="1" xfId="0" applyFont="1" applyBorder="1"/>
    <xf numFmtId="0" fontId="21" fillId="0" borderId="1" xfId="0" applyFont="1" applyFill="1" applyBorder="1" applyAlignment="1">
      <alignment horizontal="center"/>
    </xf>
    <xf numFmtId="0" fontId="29" fillId="6" borderId="1" xfId="0" applyFont="1" applyFill="1" applyBorder="1" applyAlignment="1" applyProtection="1">
      <alignment horizontal="center" vertical="center" textRotation="90" wrapText="1"/>
    </xf>
    <xf numFmtId="3" fontId="29" fillId="2" borderId="1" xfId="0" applyNumberFormat="1" applyFont="1" applyFill="1" applyBorder="1" applyAlignment="1" applyProtection="1">
      <alignment horizontal="center" vertical="center" textRotation="90" wrapText="1"/>
    </xf>
    <xf numFmtId="3" fontId="29" fillId="2" borderId="1" xfId="3" applyNumberFormat="1" applyFont="1" applyFill="1" applyBorder="1" applyAlignment="1" applyProtection="1">
      <alignment horizontal="center" vertical="center" textRotation="90" wrapText="1"/>
    </xf>
    <xf numFmtId="0" fontId="27" fillId="0" borderId="1" xfId="3" applyFont="1" applyBorder="1" applyProtection="1">
      <protection locked="0"/>
    </xf>
    <xf numFmtId="0" fontId="27" fillId="3" borderId="1" xfId="0" applyFont="1" applyFill="1" applyBorder="1" applyAlignment="1" applyProtection="1">
      <alignment horizontal="center" vertical="center"/>
    </xf>
    <xf numFmtId="0" fontId="27" fillId="3" borderId="1" xfId="3" applyFont="1" applyFill="1" applyBorder="1" applyAlignment="1" applyProtection="1">
      <alignment horizontal="center" vertical="center" wrapText="1"/>
    </xf>
    <xf numFmtId="3" fontId="27" fillId="4" borderId="1" xfId="0" applyNumberFormat="1" applyFont="1" applyFill="1" applyBorder="1" applyProtection="1"/>
    <xf numFmtId="0" fontId="27" fillId="4" borderId="1" xfId="0" applyFont="1" applyFill="1" applyBorder="1" applyProtection="1"/>
    <xf numFmtId="0" fontId="27" fillId="3" borderId="1" xfId="0" applyFont="1" applyFill="1" applyBorder="1" applyAlignment="1" applyProtection="1">
      <alignment horizontal="right" vertical="center" wrapText="1"/>
    </xf>
    <xf numFmtId="3" fontId="27" fillId="3" borderId="1" xfId="0" applyNumberFormat="1" applyFont="1" applyFill="1" applyBorder="1" applyProtection="1"/>
    <xf numFmtId="0" fontId="27" fillId="3" borderId="1" xfId="0" applyFont="1" applyFill="1" applyBorder="1" applyProtection="1"/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Continuous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4" fillId="2" borderId="18" xfId="0" applyFont="1" applyFill="1" applyBorder="1" applyAlignment="1">
      <alignment horizontal="centerContinuous" vertical="center"/>
    </xf>
    <xf numFmtId="0" fontId="14" fillId="0" borderId="18" xfId="0" applyFont="1" applyFill="1" applyBorder="1" applyAlignment="1">
      <alignment horizontal="centerContinuous" vertical="center"/>
    </xf>
    <xf numFmtId="0" fontId="14" fillId="0" borderId="21" xfId="0" applyFont="1" applyFill="1" applyBorder="1" applyAlignment="1">
      <alignment horizontal="centerContinuous" vertical="center"/>
    </xf>
    <xf numFmtId="0" fontId="14" fillId="0" borderId="38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16" fontId="14" fillId="0" borderId="18" xfId="0" quotePrefix="1" applyNumberFormat="1" applyFont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0" fillId="0" borderId="1" xfId="0" applyBorder="1"/>
    <xf numFmtId="166" fontId="44" fillId="0" borderId="0" xfId="9" applyNumberFormat="1" applyFont="1" applyBorder="1" applyAlignment="1" applyProtection="1">
      <alignment horizontal="left" vertical="center"/>
    </xf>
    <xf numFmtId="0" fontId="27" fillId="0" borderId="1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/>
    <xf numFmtId="0" fontId="14" fillId="0" borderId="1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4" xfId="0" applyFont="1" applyFill="1" applyBorder="1" applyAlignment="1"/>
    <xf numFmtId="49" fontId="31" fillId="6" borderId="1" xfId="0" applyNumberFormat="1" applyFont="1" applyFill="1" applyBorder="1"/>
    <xf numFmtId="166" fontId="43" fillId="0" borderId="35" xfId="9" applyNumberFormat="1" applyFont="1" applyFill="1" applyBorder="1" applyAlignment="1" applyProtection="1">
      <alignment horizontal="left" vertical="center" indent="1"/>
    </xf>
    <xf numFmtId="166" fontId="43" fillId="0" borderId="36" xfId="9" applyNumberFormat="1" applyFont="1" applyFill="1" applyBorder="1" applyAlignment="1" applyProtection="1">
      <alignment horizontal="left" vertical="center" wrapText="1" indent="1"/>
    </xf>
    <xf numFmtId="166" fontId="43" fillId="0" borderId="37" xfId="9" applyNumberFormat="1" applyFont="1" applyFill="1" applyBorder="1" applyAlignment="1" applyProtection="1">
      <alignment horizontal="left" vertical="center" wrapText="1" indent="1"/>
    </xf>
    <xf numFmtId="0" fontId="27" fillId="0" borderId="1" xfId="3" applyFont="1" applyFill="1" applyBorder="1" applyAlignment="1" applyProtection="1">
      <alignment horizontal="center" vertical="center" textRotation="90" wrapText="1"/>
    </xf>
    <xf numFmtId="0" fontId="27" fillId="0" borderId="1" xfId="3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>
      <alignment vertical="center"/>
    </xf>
    <xf numFmtId="0" fontId="14" fillId="5" borderId="38" xfId="0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" fontId="14" fillId="5" borderId="39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 wrapText="1"/>
    </xf>
    <xf numFmtId="0" fontId="1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51" fillId="9" borderId="49" xfId="8" applyNumberFormat="1" applyFont="1" applyFill="1" applyBorder="1" applyProtection="1">
      <alignment vertical="center"/>
    </xf>
    <xf numFmtId="165" fontId="51" fillId="9" borderId="50" xfId="8" applyNumberFormat="1" applyFont="1" applyFill="1" applyBorder="1" applyAlignment="1" applyProtection="1">
      <alignment horizontal="right" vertical="center"/>
    </xf>
    <xf numFmtId="166" fontId="52" fillId="0" borderId="51" xfId="9" applyNumberFormat="1" applyFont="1" applyBorder="1" applyAlignment="1" applyProtection="1">
      <alignment horizontal="left" vertical="center" indent="1"/>
    </xf>
    <xf numFmtId="166" fontId="52" fillId="0" borderId="50" xfId="9" applyNumberFormat="1" applyFont="1" applyBorder="1" applyAlignment="1" applyProtection="1">
      <alignment horizontal="left" vertical="center" indent="1"/>
    </xf>
    <xf numFmtId="166" fontId="53" fillId="0" borderId="49" xfId="9" applyNumberFormat="1" applyFont="1" applyBorder="1" applyAlignment="1" applyProtection="1">
      <alignment horizontal="left" vertical="center"/>
    </xf>
    <xf numFmtId="166" fontId="53" fillId="0" borderId="51" xfId="9" applyNumberFormat="1" applyFont="1" applyBorder="1" applyAlignment="1" applyProtection="1">
      <alignment horizontal="left" vertical="center"/>
    </xf>
    <xf numFmtId="166" fontId="53" fillId="0" borderId="50" xfId="9" applyNumberFormat="1" applyFont="1" applyBorder="1" applyAlignment="1" applyProtection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4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54" fillId="10" borderId="1" xfId="3" applyFont="1" applyFill="1" applyBorder="1" applyAlignment="1">
      <alignment horizontal="center" vertical="center" wrapText="1"/>
    </xf>
    <xf numFmtId="0" fontId="55" fillId="0" borderId="1" xfId="3" applyNumberFormat="1" applyFont="1" applyFill="1" applyBorder="1" applyAlignment="1" applyProtection="1">
      <alignment vertical="center" wrapText="1"/>
    </xf>
    <xf numFmtId="0" fontId="56" fillId="0" borderId="1" xfId="3" applyFont="1" applyBorder="1" applyAlignment="1">
      <alignment horizontal="left" vertical="center" wrapText="1"/>
    </xf>
    <xf numFmtId="0" fontId="56" fillId="0" borderId="1" xfId="3" applyFont="1" applyFill="1" applyBorder="1" applyAlignment="1">
      <alignment horizontal="left" vertical="center" wrapText="1"/>
    </xf>
    <xf numFmtId="0" fontId="54" fillId="10" borderId="1" xfId="3" applyFont="1" applyFill="1" applyBorder="1" applyAlignment="1">
      <alignment wrapText="1"/>
    </xf>
    <xf numFmtId="49" fontId="56" fillId="0" borderId="1" xfId="3" applyNumberFormat="1" applyFont="1" applyBorder="1" applyAlignment="1">
      <alignment horizontal="left" vertical="center" wrapText="1"/>
    </xf>
    <xf numFmtId="0" fontId="55" fillId="11" borderId="1" xfId="3" applyNumberFormat="1" applyFont="1" applyFill="1" applyBorder="1" applyAlignment="1" applyProtection="1">
      <alignment vertical="center" wrapText="1"/>
    </xf>
    <xf numFmtId="0" fontId="54" fillId="10" borderId="1" xfId="3" applyFont="1" applyFill="1" applyBorder="1" applyAlignment="1">
      <alignment vertical="center" wrapText="1"/>
    </xf>
    <xf numFmtId="49" fontId="56" fillId="11" borderId="1" xfId="3" applyNumberFormat="1" applyFont="1" applyFill="1" applyBorder="1" applyAlignment="1">
      <alignment horizontal="left" vertical="center" wrapText="1"/>
    </xf>
    <xf numFmtId="49" fontId="56" fillId="0" borderId="1" xfId="3" applyNumberFormat="1" applyFont="1" applyFill="1" applyBorder="1" applyAlignment="1">
      <alignment horizontal="left" vertical="center" wrapText="1"/>
    </xf>
    <xf numFmtId="0" fontId="60" fillId="0" borderId="1" xfId="3" applyNumberFormat="1" applyFont="1" applyFill="1" applyBorder="1" applyAlignment="1" applyProtection="1">
      <alignment vertical="center" wrapText="1"/>
    </xf>
    <xf numFmtId="0" fontId="56" fillId="11" borderId="1" xfId="3" applyFont="1" applyFill="1" applyBorder="1" applyAlignment="1">
      <alignment horizontal="left" vertical="center" wrapText="1"/>
    </xf>
    <xf numFmtId="0" fontId="55" fillId="12" borderId="1" xfId="3" applyNumberFormat="1" applyFont="1" applyFill="1" applyBorder="1" applyAlignment="1" applyProtection="1">
      <alignment vertical="center" wrapText="1"/>
    </xf>
    <xf numFmtId="0" fontId="56" fillId="12" borderId="1" xfId="3" applyFont="1" applyFill="1" applyBorder="1" applyAlignment="1">
      <alignment horizontal="left" vertical="center" wrapText="1"/>
    </xf>
    <xf numFmtId="0" fontId="61" fillId="10" borderId="1" xfId="3" applyFont="1" applyFill="1" applyBorder="1" applyAlignment="1">
      <alignment horizontal="center" vertical="center" wrapText="1"/>
    </xf>
    <xf numFmtId="0" fontId="61" fillId="10" borderId="12" xfId="0" applyFont="1" applyFill="1" applyBorder="1" applyAlignment="1">
      <alignment horizontal="center" wrapText="1"/>
    </xf>
    <xf numFmtId="0" fontId="61" fillId="10" borderId="1" xfId="0" applyFont="1" applyFill="1" applyBorder="1" applyAlignment="1">
      <alignment wrapText="1"/>
    </xf>
    <xf numFmtId="0" fontId="56" fillId="0" borderId="1" xfId="3" applyFont="1" applyBorder="1" applyAlignment="1">
      <alignment horizontal="left" wrapText="1"/>
    </xf>
    <xf numFmtId="0" fontId="55" fillId="0" borderId="1" xfId="3" applyNumberFormat="1" applyFont="1" applyFill="1" applyBorder="1" applyAlignment="1" applyProtection="1">
      <alignment wrapText="1"/>
    </xf>
    <xf numFmtId="0" fontId="61" fillId="1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/>
    </xf>
    <xf numFmtId="0" fontId="62" fillId="13" borderId="1" xfId="0" quotePrefix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right" vertical="center"/>
    </xf>
    <xf numFmtId="0" fontId="62" fillId="0" borderId="1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164" fontId="62" fillId="13" borderId="1" xfId="0" applyNumberFormat="1" applyFont="1" applyFill="1" applyBorder="1" applyAlignment="1">
      <alignment horizontal="right" vertical="center"/>
    </xf>
    <xf numFmtId="164" fontId="62" fillId="0" borderId="1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 vertical="center"/>
    </xf>
    <xf numFmtId="0" fontId="0" fillId="0" borderId="1" xfId="0" applyFill="1" applyBorder="1"/>
    <xf numFmtId="0" fontId="9" fillId="0" borderId="1" xfId="0" applyFont="1" applyBorder="1"/>
    <xf numFmtId="0" fontId="7" fillId="0" borderId="1" xfId="0" applyFont="1" applyBorder="1"/>
    <xf numFmtId="0" fontId="14" fillId="0" borderId="20" xfId="0" quotePrefix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6" fontId="44" fillId="0" borderId="54" xfId="9" applyNumberFormat="1" applyFont="1" applyBorder="1" applyAlignment="1" applyProtection="1">
      <alignment horizontal="left" vertical="center"/>
    </xf>
    <xf numFmtId="0" fontId="64" fillId="0" borderId="32" xfId="0" applyFont="1" applyBorder="1"/>
    <xf numFmtId="0" fontId="7" fillId="0" borderId="32" xfId="0" applyFont="1" applyBorder="1"/>
    <xf numFmtId="0" fontId="64" fillId="0" borderId="0" xfId="0" applyFont="1" applyBorder="1"/>
    <xf numFmtId="166" fontId="64" fillId="0" borderId="0" xfId="9" applyNumberFormat="1" applyFont="1" applyBorder="1" applyAlignment="1" applyProtection="1">
      <alignment horizontal="left" vertical="center"/>
    </xf>
    <xf numFmtId="166" fontId="64" fillId="0" borderId="0" xfId="9" applyNumberFormat="1" applyFont="1" applyFill="1" applyBorder="1" applyAlignment="1" applyProtection="1">
      <alignment horizontal="left" vertical="center"/>
    </xf>
    <xf numFmtId="166" fontId="44" fillId="0" borderId="0" xfId="9" applyNumberFormat="1" applyFont="1" applyFill="1" applyBorder="1" applyAlignment="1" applyProtection="1">
      <alignment horizontal="left" vertical="center"/>
    </xf>
    <xf numFmtId="166" fontId="64" fillId="11" borderId="0" xfId="9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29" fillId="0" borderId="2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left" vertical="center" wrapText="1"/>
    </xf>
    <xf numFmtId="0" fontId="14" fillId="0" borderId="13" xfId="0" quotePrefix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166" fontId="43" fillId="0" borderId="35" xfId="9" applyNumberFormat="1" applyFont="1" applyBorder="1" applyAlignment="1" applyProtection="1">
      <alignment horizontal="left" vertical="center" indent="1"/>
    </xf>
    <xf numFmtId="166" fontId="44" fillId="0" borderId="35" xfId="9" applyNumberFormat="1" applyFont="1" applyBorder="1" applyAlignment="1" applyProtection="1">
      <alignment horizontal="left" vertical="center"/>
    </xf>
    <xf numFmtId="166" fontId="43" fillId="0" borderId="36" xfId="9" applyNumberFormat="1" applyFont="1" applyBorder="1" applyAlignment="1" applyProtection="1">
      <alignment horizontal="left" vertical="center" indent="1"/>
    </xf>
    <xf numFmtId="166" fontId="44" fillId="0" borderId="36" xfId="9" applyNumberFormat="1" applyFont="1" applyBorder="1" applyAlignment="1" applyProtection="1">
      <alignment horizontal="left" vertical="center"/>
    </xf>
    <xf numFmtId="166" fontId="43" fillId="0" borderId="37" xfId="9" applyNumberFormat="1" applyFont="1" applyBorder="1" applyAlignment="1" applyProtection="1">
      <alignment horizontal="left" vertical="center" indent="1"/>
    </xf>
    <xf numFmtId="166" fontId="44" fillId="0" borderId="37" xfId="9" applyNumberFormat="1" applyFont="1" applyBorder="1" applyAlignment="1" applyProtection="1">
      <alignment horizontal="left" vertical="center"/>
    </xf>
    <xf numFmtId="0" fontId="29" fillId="0" borderId="7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166" fontId="64" fillId="0" borderId="0" xfId="9" applyNumberFormat="1" applyFont="1" applyFill="1" applyBorder="1" applyAlignment="1" applyProtection="1">
      <alignment horizontal="left" vertical="center"/>
    </xf>
    <xf numFmtId="166" fontId="44" fillId="0" borderId="0" xfId="9" applyNumberFormat="1" applyFont="1" applyFill="1" applyBorder="1" applyAlignment="1" applyProtection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50" fillId="0" borderId="56" xfId="10" applyBorder="1"/>
    <xf numFmtId="0" fontId="65" fillId="11" borderId="56" xfId="0" applyFont="1" applyFill="1" applyBorder="1" applyAlignment="1">
      <alignment horizontal="left" vertical="center" wrapText="1"/>
    </xf>
    <xf numFmtId="0" fontId="0" fillId="0" borderId="58" xfId="0" applyBorder="1"/>
    <xf numFmtId="166" fontId="43" fillId="0" borderId="54" xfId="9" applyNumberFormat="1" applyFont="1" applyBorder="1" applyAlignment="1" applyProtection="1">
      <alignment horizontal="left" vertical="center" indent="1"/>
    </xf>
    <xf numFmtId="166" fontId="43" fillId="0" borderId="60" xfId="9" applyNumberFormat="1" applyFont="1" applyBorder="1" applyAlignment="1" applyProtection="1">
      <alignment horizontal="left" vertical="center" indent="1"/>
    </xf>
    <xf numFmtId="0" fontId="23" fillId="11" borderId="61" xfId="0" applyFont="1" applyFill="1" applyBorder="1" applyAlignment="1"/>
    <xf numFmtId="0" fontId="23" fillId="11" borderId="61" xfId="0" applyFont="1" applyFill="1" applyBorder="1"/>
    <xf numFmtId="0" fontId="0" fillId="11" borderId="61" xfId="0" applyFill="1" applyBorder="1"/>
    <xf numFmtId="0" fontId="23" fillId="11" borderId="62" xfId="0" applyFont="1" applyFill="1" applyBorder="1" applyAlignment="1"/>
    <xf numFmtId="0" fontId="23" fillId="11" borderId="62" xfId="0" applyFont="1" applyFill="1" applyBorder="1"/>
    <xf numFmtId="0" fontId="0" fillId="11" borderId="62" xfId="0" applyFill="1" applyBorder="1"/>
    <xf numFmtId="0" fontId="5" fillId="2" borderId="62" xfId="2" applyFill="1" applyBorder="1" applyAlignment="1" applyProtection="1"/>
    <xf numFmtId="0" fontId="23" fillId="0" borderId="61" xfId="0" applyFont="1" applyFill="1" applyBorder="1" applyAlignment="1"/>
    <xf numFmtId="0" fontId="23" fillId="0" borderId="61" xfId="0" applyFont="1" applyBorder="1"/>
    <xf numFmtId="0" fontId="0" fillId="0" borderId="61" xfId="0" applyBorder="1"/>
    <xf numFmtId="166" fontId="43" fillId="0" borderId="59" xfId="9" applyNumberFormat="1" applyFont="1" applyBorder="1" applyAlignment="1" applyProtection="1">
      <alignment horizontal="left" vertical="center" indent="1"/>
    </xf>
    <xf numFmtId="166" fontId="44" fillId="0" borderId="59" xfId="9" applyNumberFormat="1" applyFont="1" applyBorder="1" applyAlignment="1" applyProtection="1">
      <alignment horizontal="left" vertical="center"/>
    </xf>
    <xf numFmtId="0" fontId="7" fillId="0" borderId="63" xfId="0" applyFont="1" applyBorder="1" applyAlignment="1">
      <alignment horizontal="right"/>
    </xf>
    <xf numFmtId="0" fontId="50" fillId="0" borderId="64" xfId="10" applyBorder="1"/>
    <xf numFmtId="0" fontId="50" fillId="0" borderId="64" xfId="10" applyBorder="1" applyAlignment="1">
      <alignment vertical="center" wrapText="1"/>
    </xf>
    <xf numFmtId="0" fontId="65" fillId="11" borderId="65" xfId="0" applyFont="1" applyFill="1" applyBorder="1" applyAlignment="1">
      <alignment horizontal="left" vertical="center" wrapText="1"/>
    </xf>
    <xf numFmtId="0" fontId="7" fillId="0" borderId="58" xfId="0" applyFont="1" applyBorder="1" applyAlignment="1">
      <alignment horizontal="right"/>
    </xf>
    <xf numFmtId="0" fontId="50" fillId="0" borderId="48" xfId="10" applyAlignment="1">
      <alignment wrapText="1"/>
    </xf>
    <xf numFmtId="0" fontId="0" fillId="11" borderId="57" xfId="0" applyFill="1" applyBorder="1"/>
    <xf numFmtId="0" fontId="0" fillId="0" borderId="66" xfId="0" applyBorder="1"/>
    <xf numFmtId="0" fontId="0" fillId="11" borderId="67" xfId="0" applyFill="1" applyBorder="1"/>
    <xf numFmtId="0" fontId="50" fillId="11" borderId="64" xfId="10" applyFill="1" applyBorder="1" applyAlignment="1">
      <alignment vertical="center" wrapText="1"/>
    </xf>
    <xf numFmtId="0" fontId="66" fillId="0" borderId="0" xfId="0" applyFont="1"/>
    <xf numFmtId="0" fontId="67" fillId="0" borderId="6" xfId="0" applyFont="1" applyFill="1" applyBorder="1" applyAlignment="1">
      <alignment horizontal="centerContinuous" vertical="center"/>
    </xf>
    <xf numFmtId="0" fontId="26" fillId="0" borderId="18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0" fontId="68" fillId="0" borderId="13" xfId="0" quotePrefix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vertical="center"/>
    </xf>
    <xf numFmtId="0" fontId="26" fillId="0" borderId="13" xfId="0" quotePrefix="1" applyFont="1" applyFill="1" applyBorder="1" applyAlignment="1">
      <alignment horizontal="center" vertical="center"/>
    </xf>
    <xf numFmtId="0" fontId="38" fillId="0" borderId="13" xfId="0" quotePrefix="1" applyFont="1" applyFill="1" applyBorder="1" applyAlignment="1">
      <alignment horizontal="center" vertical="center"/>
    </xf>
    <xf numFmtId="0" fontId="12" fillId="0" borderId="13" xfId="0" quotePrefix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69" fillId="2" borderId="2" xfId="0" applyFont="1" applyFill="1" applyBorder="1" applyAlignment="1">
      <alignment horizontal="center" vertical="center" wrapText="1"/>
    </xf>
    <xf numFmtId="0" fontId="14" fillId="14" borderId="0" xfId="0" applyFont="1" applyFill="1" applyAlignment="1">
      <alignment vertical="center"/>
    </xf>
    <xf numFmtId="166" fontId="44" fillId="14" borderId="37" xfId="9" applyNumberFormat="1" applyFont="1" applyFill="1" applyBorder="1" applyAlignment="1" applyProtection="1">
      <alignment horizontal="left" vertical="center"/>
    </xf>
    <xf numFmtId="166" fontId="44" fillId="14" borderId="36" xfId="9" applyNumberFormat="1" applyFont="1" applyFill="1" applyBorder="1" applyAlignment="1" applyProtection="1">
      <alignment horizontal="left" vertical="center"/>
    </xf>
    <xf numFmtId="166" fontId="44" fillId="14" borderId="35" xfId="9" applyNumberFormat="1" applyFont="1" applyFill="1" applyBorder="1" applyAlignment="1" applyProtection="1">
      <alignment horizontal="left" vertical="center"/>
    </xf>
    <xf numFmtId="165" fontId="42" fillId="14" borderId="37" xfId="12" applyNumberFormat="1" applyFont="1" applyFill="1" applyBorder="1" applyAlignment="1" applyProtection="1">
      <alignment horizontal="right" vertical="center"/>
    </xf>
    <xf numFmtId="165" fontId="42" fillId="14" borderId="35" xfId="12" applyNumberFormat="1" applyFont="1" applyFill="1" applyBorder="1" applyProtection="1">
      <alignment vertical="center"/>
    </xf>
    <xf numFmtId="0" fontId="7" fillId="0" borderId="70" xfId="0" applyFont="1" applyFill="1" applyBorder="1" applyAlignment="1">
      <alignment horizontal="left" vertical="center" wrapText="1"/>
    </xf>
    <xf numFmtId="49" fontId="7" fillId="0" borderId="71" xfId="0" applyNumberFormat="1" applyFont="1" applyFill="1" applyBorder="1" applyAlignment="1">
      <alignment horizontal="left" vertical="center"/>
    </xf>
    <xf numFmtId="0" fontId="7" fillId="0" borderId="13" xfId="0" quotePrefix="1" applyFont="1" applyFill="1" applyBorder="1" applyAlignment="1">
      <alignment horizontal="left" vertical="center" wrapText="1"/>
    </xf>
    <xf numFmtId="167" fontId="7" fillId="0" borderId="72" xfId="0" applyNumberFormat="1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74" xfId="0" applyNumberFormat="1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 wrapText="1"/>
    </xf>
    <xf numFmtId="167" fontId="7" fillId="0" borderId="75" xfId="0" applyNumberFormat="1" applyFont="1" applyFill="1" applyBorder="1" applyAlignment="1">
      <alignment horizontal="left" vertical="center"/>
    </xf>
    <xf numFmtId="0" fontId="69" fillId="2" borderId="1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35" fillId="0" borderId="70" xfId="0" applyFont="1" applyFill="1" applyBorder="1" applyAlignment="1">
      <alignment horizontal="center" vertical="center"/>
    </xf>
    <xf numFmtId="0" fontId="35" fillId="0" borderId="13" xfId="0" quotePrefix="1" applyFont="1" applyFill="1" applyBorder="1" applyAlignment="1">
      <alignment horizontal="center" vertical="center"/>
    </xf>
    <xf numFmtId="0" fontId="14" fillId="0" borderId="13" xfId="0" quotePrefix="1" applyFont="1" applyFill="1" applyBorder="1" applyAlignment="1" applyProtection="1">
      <alignment horizontal="center" vertical="center"/>
      <protection locked="0"/>
    </xf>
    <xf numFmtId="165" fontId="42" fillId="6" borderId="37" xfId="12" applyNumberFormat="1" applyFont="1" applyFill="1" applyBorder="1" applyAlignment="1" applyProtection="1">
      <alignment horizontal="right" vertical="center"/>
    </xf>
    <xf numFmtId="165" fontId="42" fillId="6" borderId="35" xfId="12" applyNumberFormat="1" applyFont="1" applyFill="1" applyBorder="1" applyProtection="1">
      <alignment vertical="center"/>
    </xf>
    <xf numFmtId="166" fontId="43" fillId="0" borderId="36" xfId="9" applyNumberFormat="1" applyFont="1" applyFill="1" applyBorder="1" applyAlignment="1" applyProtection="1">
      <alignment horizontal="left" vertical="center" indent="1"/>
    </xf>
    <xf numFmtId="166" fontId="44" fillId="0" borderId="36" xfId="9" applyNumberFormat="1" applyFont="1" applyFill="1" applyBorder="1" applyAlignment="1" applyProtection="1">
      <alignment horizontal="left" vertical="center"/>
    </xf>
    <xf numFmtId="0" fontId="72" fillId="16" borderId="6" xfId="0" applyFont="1" applyFill="1" applyBorder="1" applyAlignment="1">
      <alignment horizontal="left" vertical="center" wrapText="1"/>
    </xf>
    <xf numFmtId="0" fontId="74" fillId="14" borderId="13" xfId="0" applyFont="1" applyFill="1" applyBorder="1" applyAlignment="1">
      <alignment horizontal="center" vertical="center" wrapText="1"/>
    </xf>
    <xf numFmtId="0" fontId="29" fillId="14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62" fillId="0" borderId="1" xfId="0" quotePrefix="1" applyFont="1" applyFill="1" applyBorder="1" applyAlignment="1">
      <alignment horizontal="left" vertical="center" wrapText="1"/>
    </xf>
    <xf numFmtId="0" fontId="62" fillId="0" borderId="1" xfId="0" quotePrefix="1" applyFont="1" applyFill="1" applyBorder="1" applyAlignment="1">
      <alignment horizontal="center" vertical="center" wrapText="1"/>
    </xf>
    <xf numFmtId="0" fontId="62" fillId="0" borderId="1" xfId="0" quotePrefix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top" wrapText="1"/>
    </xf>
    <xf numFmtId="0" fontId="68" fillId="0" borderId="1" xfId="0" quotePrefix="1" applyFont="1" applyFill="1" applyBorder="1" applyAlignment="1">
      <alignment horizontal="left" vertical="center" wrapText="1"/>
    </xf>
    <xf numFmtId="0" fontId="62" fillId="0" borderId="1" xfId="0" applyFont="1" applyBorder="1"/>
    <xf numFmtId="0" fontId="10" fillId="0" borderId="2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62" fillId="2" borderId="1" xfId="0" quotePrefix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68" fillId="17" borderId="1" xfId="0" applyFont="1" applyFill="1" applyBorder="1" applyAlignment="1">
      <alignment horizontal="center" vertical="center"/>
    </xf>
    <xf numFmtId="0" fontId="68" fillId="17" borderId="1" xfId="0" applyFont="1" applyFill="1" applyBorder="1" applyAlignment="1">
      <alignment horizontal="center" vertical="center" wrapText="1"/>
    </xf>
    <xf numFmtId="0" fontId="62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left" vertical="center"/>
    </xf>
    <xf numFmtId="49" fontId="77" fillId="14" borderId="13" xfId="0" applyNumberFormat="1" applyFont="1" applyFill="1" applyBorder="1" applyAlignment="1">
      <alignment horizontal="left" vertical="center" wrapText="1"/>
    </xf>
    <xf numFmtId="0" fontId="0" fillId="14" borderId="0" xfId="0" applyFill="1"/>
    <xf numFmtId="49" fontId="10" fillId="0" borderId="78" xfId="0" applyNumberFormat="1" applyFont="1" applyFill="1" applyBorder="1" applyAlignment="1">
      <alignment horizontal="left" vertical="center" wrapText="1"/>
    </xf>
    <xf numFmtId="49" fontId="10" fillId="0" borderId="79" xfId="0" applyNumberFormat="1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top" wrapText="1"/>
    </xf>
    <xf numFmtId="0" fontId="10" fillId="0" borderId="81" xfId="0" applyFont="1" applyFill="1" applyBorder="1" applyAlignment="1">
      <alignment horizontal="left" vertical="top" wrapText="1"/>
    </xf>
    <xf numFmtId="0" fontId="62" fillId="0" borderId="19" xfId="0" quotePrefix="1" applyFont="1" applyFill="1" applyBorder="1" applyAlignment="1">
      <alignment horizontal="center" vertical="center"/>
    </xf>
    <xf numFmtId="0" fontId="62" fillId="0" borderId="19" xfId="0" quotePrefix="1" applyFont="1" applyFill="1" applyBorder="1" applyAlignment="1">
      <alignment horizontal="center" vertical="center" wrapText="1"/>
    </xf>
    <xf numFmtId="0" fontId="68" fillId="17" borderId="1" xfId="0" quotePrefix="1" applyFont="1" applyFill="1" applyBorder="1" applyAlignment="1">
      <alignment horizontal="center" vertical="center" wrapText="1"/>
    </xf>
    <xf numFmtId="0" fontId="68" fillId="18" borderId="1" xfId="0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center" vertical="center" wrapText="1"/>
    </xf>
    <xf numFmtId="0" fontId="78" fillId="14" borderId="1" xfId="0" applyFont="1" applyFill="1" applyBorder="1" applyAlignment="1">
      <alignment horizontal="left" vertical="center"/>
    </xf>
    <xf numFmtId="3" fontId="13" fillId="14" borderId="13" xfId="0" applyNumberFormat="1" applyFont="1" applyFill="1" applyBorder="1" applyAlignment="1">
      <alignment horizontal="left" wrapText="1"/>
    </xf>
    <xf numFmtId="0" fontId="62" fillId="14" borderId="0" xfId="0" applyFont="1" applyFill="1"/>
    <xf numFmtId="0" fontId="10" fillId="0" borderId="1" xfId="0" applyNumberFormat="1" applyFont="1" applyFill="1" applyBorder="1" applyAlignment="1">
      <alignment horizontal="left"/>
    </xf>
    <xf numFmtId="49" fontId="10" fillId="0" borderId="79" xfId="0" applyNumberFormat="1" applyFont="1" applyFill="1" applyBorder="1"/>
    <xf numFmtId="0" fontId="10" fillId="0" borderId="79" xfId="0" applyFont="1" applyFill="1" applyBorder="1" applyAlignment="1">
      <alignment vertical="top" wrapText="1"/>
    </xf>
    <xf numFmtId="0" fontId="65" fillId="17" borderId="1" xfId="0" applyFont="1" applyFill="1" applyBorder="1"/>
    <xf numFmtId="0" fontId="0" fillId="17" borderId="13" xfId="0" applyFill="1" applyBorder="1"/>
    <xf numFmtId="0" fontId="78" fillId="14" borderId="12" xfId="0" applyFont="1" applyFill="1" applyBorder="1" applyAlignment="1">
      <alignment horizontal="left" vertical="center"/>
    </xf>
    <xf numFmtId="3" fontId="8" fillId="14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68" fillId="17" borderId="77" xfId="0" applyFont="1" applyFill="1" applyBorder="1" applyAlignment="1">
      <alignment horizontal="center" vertical="center"/>
    </xf>
    <xf numFmtId="0" fontId="68" fillId="17" borderId="77" xfId="0" applyFont="1" applyFill="1" applyBorder="1" applyAlignment="1">
      <alignment horizontal="center" vertical="center" wrapText="1"/>
    </xf>
    <xf numFmtId="0" fontId="68" fillId="17" borderId="82" xfId="0" applyFont="1" applyFill="1" applyBorder="1" applyAlignment="1">
      <alignment horizontal="center" vertical="center" wrapText="1"/>
    </xf>
    <xf numFmtId="165" fontId="42" fillId="17" borderId="1" xfId="12" applyNumberFormat="1" applyFont="1" applyFill="1" applyBorder="1" applyProtection="1">
      <alignment vertical="center"/>
    </xf>
    <xf numFmtId="165" fontId="44" fillId="17" borderId="83" xfId="12" applyNumberFormat="1" applyFont="1" applyFill="1" applyBorder="1" applyAlignment="1" applyProtection="1">
      <alignment horizontal="left" vertical="center"/>
    </xf>
    <xf numFmtId="0" fontId="68" fillId="17" borderId="83" xfId="0" applyFont="1" applyFill="1" applyBorder="1" applyAlignment="1">
      <alignment horizontal="left" vertical="center"/>
    </xf>
    <xf numFmtId="166" fontId="68" fillId="17" borderId="83" xfId="9" applyNumberFormat="1" applyFont="1" applyFill="1" applyBorder="1" applyAlignment="1" applyProtection="1">
      <alignment horizontal="center" vertical="center"/>
    </xf>
    <xf numFmtId="0" fontId="62" fillId="17" borderId="26" xfId="0" applyFont="1" applyFill="1" applyBorder="1" applyAlignment="1">
      <alignment horizontal="center" vertical="center" wrapText="1"/>
    </xf>
    <xf numFmtId="0" fontId="62" fillId="17" borderId="52" xfId="0" applyFont="1" applyFill="1" applyBorder="1" applyAlignment="1">
      <alignment horizontal="center" vertical="center" wrapText="1"/>
    </xf>
    <xf numFmtId="165" fontId="42" fillId="14" borderId="1" xfId="12" applyNumberFormat="1" applyFont="1" applyFill="1" applyBorder="1" applyProtection="1">
      <alignment vertical="center"/>
    </xf>
    <xf numFmtId="165" fontId="74" fillId="14" borderId="0" xfId="12" applyNumberFormat="1" applyFont="1" applyFill="1" applyBorder="1" applyAlignment="1" applyProtection="1">
      <alignment horizontal="center" vertical="center"/>
    </xf>
    <xf numFmtId="0" fontId="68" fillId="14" borderId="0" xfId="0" applyFont="1" applyFill="1" applyBorder="1" applyAlignment="1">
      <alignment horizontal="center" vertical="center"/>
    </xf>
    <xf numFmtId="0" fontId="62" fillId="14" borderId="12" xfId="0" applyFont="1" applyFill="1" applyBorder="1" applyAlignment="1">
      <alignment horizontal="center" vertical="center"/>
    </xf>
    <xf numFmtId="0" fontId="62" fillId="14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69" xfId="0" applyFont="1" applyBorder="1" applyAlignment="1" applyProtection="1">
      <alignment vertical="top" wrapText="1" readingOrder="1"/>
      <protection locked="0"/>
    </xf>
    <xf numFmtId="0" fontId="76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63" fillId="0" borderId="69" xfId="0" applyFont="1" applyBorder="1" applyAlignment="1" applyProtection="1">
      <alignment vertical="top" wrapText="1" readingOrder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17" borderId="13" xfId="0" applyFont="1" applyFill="1" applyBorder="1" applyAlignment="1">
      <alignment horizontal="left" vertical="center" wrapText="1"/>
    </xf>
    <xf numFmtId="0" fontId="0" fillId="14" borderId="1" xfId="0" applyFill="1" applyBorder="1"/>
    <xf numFmtId="0" fontId="77" fillId="14" borderId="13" xfId="0" applyFont="1" applyFill="1" applyBorder="1" applyAlignment="1">
      <alignment horizontal="left" vertical="center" wrapText="1"/>
    </xf>
    <xf numFmtId="3" fontId="10" fillId="0" borderId="1" xfId="14" applyNumberFormat="1" applyFont="1" applyFill="1" applyBorder="1" applyAlignment="1"/>
    <xf numFmtId="3" fontId="10" fillId="0" borderId="84" xfId="0" applyNumberFormat="1" applyFont="1" applyFill="1" applyBorder="1" applyAlignment="1">
      <alignment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top" wrapText="1"/>
    </xf>
    <xf numFmtId="0" fontId="10" fillId="0" borderId="78" xfId="0" applyFont="1" applyFill="1" applyBorder="1" applyAlignment="1">
      <alignment horizontal="left" vertical="top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left" vertical="top" wrapText="1"/>
    </xf>
    <xf numFmtId="49" fontId="10" fillId="0" borderId="79" xfId="0" applyNumberFormat="1" applyFont="1" applyFill="1" applyBorder="1" applyAlignment="1"/>
    <xf numFmtId="0" fontId="10" fillId="17" borderId="13" xfId="0" applyFont="1" applyFill="1" applyBorder="1" applyAlignment="1">
      <alignment horizontal="left" vertical="top" wrapText="1"/>
    </xf>
    <xf numFmtId="0" fontId="68" fillId="17" borderId="12" xfId="0" applyFont="1" applyFill="1" applyBorder="1" applyAlignment="1">
      <alignment horizontal="center" vertical="center"/>
    </xf>
    <xf numFmtId="165" fontId="44" fillId="17" borderId="13" xfId="12" applyNumberFormat="1" applyFont="1" applyFill="1" applyBorder="1" applyAlignment="1" applyProtection="1">
      <alignment horizontal="left" vertical="center"/>
    </xf>
    <xf numFmtId="0" fontId="68" fillId="17" borderId="1" xfId="0" applyFont="1" applyFill="1" applyBorder="1" applyAlignment="1">
      <alignment horizontal="left" vertical="center"/>
    </xf>
    <xf numFmtId="0" fontId="62" fillId="17" borderId="1" xfId="0" applyFont="1" applyFill="1" applyBorder="1" applyAlignment="1">
      <alignment horizontal="center" vertical="center"/>
    </xf>
    <xf numFmtId="0" fontId="0" fillId="14" borderId="19" xfId="0" applyFill="1" applyBorder="1"/>
    <xf numFmtId="165" fontId="74" fillId="14" borderId="19" xfId="12" applyNumberFormat="1" applyFont="1" applyFill="1" applyBorder="1" applyAlignment="1" applyProtection="1">
      <alignment horizontal="center" vertical="center"/>
    </xf>
    <xf numFmtId="0" fontId="62" fillId="14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79" xfId="0" applyNumberFormat="1" applyFont="1" applyFill="1" applyBorder="1" applyAlignment="1">
      <alignment vertical="center" wrapText="1"/>
    </xf>
    <xf numFmtId="0" fontId="10" fillId="2" borderId="79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79" xfId="0" applyNumberFormat="1" applyFont="1" applyFill="1" applyBorder="1" applyAlignment="1">
      <alignment vertical="center" wrapText="1"/>
    </xf>
    <xf numFmtId="49" fontId="10" fillId="0" borderId="80" xfId="0" applyNumberFormat="1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vertical="center" wrapText="1"/>
    </xf>
    <xf numFmtId="49" fontId="10" fillId="0" borderId="81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79" fillId="17" borderId="1" xfId="0" applyFont="1" applyFill="1" applyBorder="1"/>
    <xf numFmtId="0" fontId="6" fillId="17" borderId="13" xfId="0" quotePrefix="1" applyFont="1" applyFill="1" applyBorder="1" applyAlignment="1">
      <alignment horizontal="left" vertical="center" wrapText="1"/>
    </xf>
    <xf numFmtId="49" fontId="8" fillId="14" borderId="13" xfId="0" applyNumberFormat="1" applyFont="1" applyFill="1" applyBorder="1" applyAlignment="1">
      <alignment vertical="center" wrapText="1"/>
    </xf>
    <xf numFmtId="3" fontId="13" fillId="14" borderId="1" xfId="0" applyNumberFormat="1" applyFont="1" applyFill="1" applyBorder="1" applyAlignment="1">
      <alignment horizontal="left" wrapText="1"/>
    </xf>
    <xf numFmtId="49" fontId="10" fillId="0" borderId="78" xfId="0" applyNumberFormat="1" applyFont="1" applyFill="1" applyBorder="1" applyAlignment="1"/>
    <xf numFmtId="0" fontId="10" fillId="0" borderId="19" xfId="0" applyFont="1" applyFill="1" applyBorder="1" applyAlignment="1">
      <alignment horizontal="left" vertical="top" wrapText="1"/>
    </xf>
    <xf numFmtId="0" fontId="62" fillId="0" borderId="19" xfId="0" applyFont="1" applyBorder="1" applyAlignment="1">
      <alignment horizontal="center" vertical="center" wrapText="1"/>
    </xf>
    <xf numFmtId="0" fontId="68" fillId="19" borderId="1" xfId="0" applyFont="1" applyFill="1" applyBorder="1" applyAlignment="1">
      <alignment horizontal="center" vertical="center" wrapText="1"/>
    </xf>
    <xf numFmtId="0" fontId="0" fillId="20" borderId="0" xfId="0" applyFill="1"/>
    <xf numFmtId="0" fontId="10" fillId="0" borderId="19" xfId="0" applyFont="1" applyFill="1" applyBorder="1" applyAlignment="1">
      <alignment vertical="top" wrapText="1"/>
    </xf>
    <xf numFmtId="165" fontId="80" fillId="19" borderId="1" xfId="12" applyNumberFormat="1" applyFont="1" applyFill="1" applyBorder="1" applyProtection="1">
      <alignment vertical="center"/>
    </xf>
    <xf numFmtId="165" fontId="44" fillId="19" borderId="13" xfId="12" applyNumberFormat="1" applyFont="1" applyFill="1" applyBorder="1" applyAlignment="1" applyProtection="1">
      <alignment horizontal="left" vertical="center"/>
    </xf>
    <xf numFmtId="0" fontId="68" fillId="19" borderId="1" xfId="0" applyFont="1" applyFill="1" applyBorder="1" applyAlignment="1">
      <alignment horizontal="left" vertical="center"/>
    </xf>
    <xf numFmtId="0" fontId="62" fillId="19" borderId="1" xfId="0" applyFont="1" applyFill="1" applyBorder="1" applyAlignment="1">
      <alignment horizontal="center" vertical="center"/>
    </xf>
    <xf numFmtId="0" fontId="62" fillId="19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74" fillId="14" borderId="25" xfId="0" applyFont="1" applyFill="1" applyBorder="1" applyAlignment="1">
      <alignment horizontal="center" vertical="center" wrapText="1"/>
    </xf>
    <xf numFmtId="0" fontId="62" fillId="14" borderId="1" xfId="0" applyFont="1" applyFill="1" applyBorder="1" applyAlignment="1">
      <alignment horizontal="center" vertical="center"/>
    </xf>
    <xf numFmtId="0" fontId="62" fillId="14" borderId="1" xfId="0" applyFont="1" applyFill="1" applyBorder="1" applyAlignment="1">
      <alignment horizontal="center" vertical="center" wrapText="1"/>
    </xf>
    <xf numFmtId="0" fontId="62" fillId="0" borderId="85" xfId="0" applyFont="1" applyFill="1" applyBorder="1" applyAlignment="1">
      <alignment horizontal="center" vertical="center"/>
    </xf>
    <xf numFmtId="0" fontId="68" fillId="0" borderId="8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/>
    </xf>
    <xf numFmtId="0" fontId="6" fillId="17" borderId="32" xfId="0" quotePrefix="1" applyFont="1" applyFill="1" applyBorder="1" applyAlignment="1">
      <alignment horizontal="left" vertical="center" wrapText="1"/>
    </xf>
    <xf numFmtId="0" fontId="10" fillId="14" borderId="1" xfId="0" applyFont="1" applyFill="1" applyBorder="1" applyAlignment="1">
      <alignment horizontal="left" vertical="top" wrapText="1"/>
    </xf>
    <xf numFmtId="3" fontId="8" fillId="14" borderId="1" xfId="0" applyNumberFormat="1" applyFont="1" applyFill="1" applyBorder="1" applyAlignment="1">
      <alignment horizontal="left" wrapText="1"/>
    </xf>
    <xf numFmtId="0" fontId="10" fillId="0" borderId="2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wrapText="1"/>
    </xf>
    <xf numFmtId="0" fontId="62" fillId="0" borderId="8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0" fontId="10" fillId="0" borderId="87" xfId="0" applyFont="1" applyFill="1" applyBorder="1" applyAlignment="1">
      <alignment horizontal="left" vertical="top" wrapText="1"/>
    </xf>
    <xf numFmtId="0" fontId="65" fillId="18" borderId="1" xfId="0" applyFont="1" applyFill="1" applyBorder="1"/>
    <xf numFmtId="0" fontId="6" fillId="18" borderId="25" xfId="0" quotePrefix="1" applyFont="1" applyFill="1" applyBorder="1" applyAlignment="1">
      <alignment horizontal="left" vertical="center" wrapText="1"/>
    </xf>
    <xf numFmtId="0" fontId="68" fillId="18" borderId="1" xfId="0" applyFont="1" applyFill="1" applyBorder="1" applyAlignment="1">
      <alignment horizontal="center" vertical="center"/>
    </xf>
    <xf numFmtId="165" fontId="82" fillId="19" borderId="1" xfId="12" applyNumberFormat="1" applyFont="1" applyFill="1" applyBorder="1" applyAlignment="1" applyProtection="1">
      <alignment horizontal="left" vertical="center"/>
    </xf>
    <xf numFmtId="165" fontId="44" fillId="19" borderId="20" xfId="12" applyNumberFormat="1" applyFont="1" applyFill="1" applyBorder="1" applyAlignment="1" applyProtection="1">
      <alignment horizontal="left" vertical="center"/>
    </xf>
    <xf numFmtId="0" fontId="83" fillId="19" borderId="32" xfId="0" applyFont="1" applyFill="1" applyBorder="1" applyAlignment="1">
      <alignment horizontal="left" vertical="center"/>
    </xf>
    <xf numFmtId="0" fontId="63" fillId="19" borderId="1" xfId="0" applyFont="1" applyFill="1" applyBorder="1" applyAlignment="1">
      <alignment horizontal="left" vertical="center"/>
    </xf>
    <xf numFmtId="0" fontId="63" fillId="19" borderId="1" xfId="0" applyFont="1" applyFill="1" applyBorder="1" applyAlignment="1">
      <alignment horizontal="left" vertical="center" wrapText="1"/>
    </xf>
    <xf numFmtId="3" fontId="13" fillId="14" borderId="1" xfId="14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3" fontId="10" fillId="0" borderId="1" xfId="14" applyNumberFormat="1" applyFont="1" applyFill="1" applyBorder="1" applyAlignment="1">
      <alignment horizontal="left" wrapText="1"/>
    </xf>
    <xf numFmtId="0" fontId="10" fillId="0" borderId="70" xfId="0" applyFont="1" applyFill="1" applyBorder="1" applyAlignment="1">
      <alignment wrapText="1"/>
    </xf>
    <xf numFmtId="0" fontId="10" fillId="0" borderId="88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79" fillId="18" borderId="1" xfId="0" applyFont="1" applyFill="1" applyBorder="1"/>
    <xf numFmtId="0" fontId="10" fillId="18" borderId="13" xfId="0" applyFont="1" applyFill="1" applyBorder="1" applyAlignment="1">
      <alignment horizontal="left" vertical="top" wrapText="1"/>
    </xf>
    <xf numFmtId="3" fontId="8" fillId="14" borderId="89" xfId="0" applyNumberFormat="1" applyFont="1" applyFill="1" applyBorder="1" applyAlignment="1">
      <alignment horizontal="left" vertical="center" wrapText="1"/>
    </xf>
    <xf numFmtId="0" fontId="68" fillId="14" borderId="1" xfId="0" applyFont="1" applyFill="1" applyBorder="1" applyAlignment="1">
      <alignment horizontal="center" vertical="center"/>
    </xf>
    <xf numFmtId="0" fontId="68" fillId="14" borderId="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165" fontId="80" fillId="17" borderId="1" xfId="12" applyNumberFormat="1" applyFont="1" applyFill="1" applyBorder="1" applyProtection="1">
      <alignment vertical="center"/>
    </xf>
    <xf numFmtId="0" fontId="62" fillId="17" borderId="24" xfId="0" applyFont="1" applyFill="1" applyBorder="1" applyAlignment="1">
      <alignment horizontal="left" vertical="center"/>
    </xf>
    <xf numFmtId="3" fontId="13" fillId="14" borderId="1" xfId="14" applyNumberFormat="1" applyFont="1" applyFill="1" applyBorder="1" applyAlignment="1">
      <alignment horizontal="left" wrapText="1"/>
    </xf>
    <xf numFmtId="49" fontId="84" fillId="0" borderId="1" xfId="0" applyNumberFormat="1" applyFont="1" applyBorder="1" applyAlignment="1">
      <alignment horizontal="left" vertical="center" wrapText="1"/>
    </xf>
    <xf numFmtId="49" fontId="84" fillId="0" borderId="84" xfId="0" applyNumberFormat="1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49" fontId="84" fillId="0" borderId="70" xfId="0" applyNumberFormat="1" applyFont="1" applyBorder="1" applyAlignment="1">
      <alignment horizontal="left" vertical="center" wrapText="1"/>
    </xf>
    <xf numFmtId="49" fontId="84" fillId="0" borderId="88" xfId="0" applyNumberFormat="1" applyFont="1" applyBorder="1" applyAlignment="1">
      <alignment horizontal="left" vertical="center" wrapText="1"/>
    </xf>
    <xf numFmtId="49" fontId="84" fillId="0" borderId="13" xfId="0" applyNumberFormat="1" applyFont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left" vertical="center" wrapText="1"/>
    </xf>
    <xf numFmtId="49" fontId="84" fillId="0" borderId="70" xfId="0" applyNumberFormat="1" applyFont="1" applyFill="1" applyBorder="1" applyAlignment="1">
      <alignment horizontal="left" vertical="center" wrapText="1"/>
    </xf>
    <xf numFmtId="0" fontId="68" fillId="0" borderId="1" xfId="0" applyFont="1" applyBorder="1" applyAlignment="1">
      <alignment horizontal="center" vertical="center"/>
    </xf>
    <xf numFmtId="49" fontId="84" fillId="0" borderId="25" xfId="0" applyNumberFormat="1" applyFont="1" applyBorder="1" applyAlignment="1">
      <alignment horizontal="left" vertical="center" wrapText="1"/>
    </xf>
    <xf numFmtId="0" fontId="68" fillId="18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84" fillId="0" borderId="80" xfId="0" applyNumberFormat="1" applyFont="1" applyBorder="1" applyAlignment="1">
      <alignment horizontal="left" vertical="center" wrapText="1"/>
    </xf>
    <xf numFmtId="0" fontId="62" fillId="0" borderId="19" xfId="0" applyFont="1" applyBorder="1" applyAlignment="1">
      <alignment horizontal="center" vertical="center"/>
    </xf>
    <xf numFmtId="0" fontId="0" fillId="18" borderId="13" xfId="0" applyFill="1" applyBorder="1"/>
    <xf numFmtId="0" fontId="67" fillId="19" borderId="32" xfId="0" applyFont="1" applyFill="1" applyBorder="1" applyAlignment="1">
      <alignment horizontal="left" vertical="center"/>
    </xf>
    <xf numFmtId="49" fontId="8" fillId="14" borderId="1" xfId="0" applyNumberFormat="1" applyFont="1" applyFill="1" applyBorder="1" applyAlignment="1">
      <alignment vertical="center" wrapText="1"/>
    </xf>
    <xf numFmtId="0" fontId="10" fillId="0" borderId="84" xfId="0" applyFont="1" applyFill="1" applyBorder="1" applyAlignment="1">
      <alignment horizontal="left" vertical="top" wrapText="1"/>
    </xf>
    <xf numFmtId="49" fontId="10" fillId="0" borderId="70" xfId="0" applyNumberFormat="1" applyFont="1" applyFill="1" applyBorder="1"/>
    <xf numFmtId="49" fontId="10" fillId="0" borderId="1" xfId="0" applyNumberFormat="1" applyFont="1" applyFill="1" applyBorder="1"/>
    <xf numFmtId="49" fontId="10" fillId="0" borderId="7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0" fillId="0" borderId="80" xfId="0" applyFont="1" applyFill="1" applyBorder="1" applyAlignment="1">
      <alignment horizontal="left" vertical="top"/>
    </xf>
    <xf numFmtId="0" fontId="0" fillId="18" borderId="20" xfId="0" applyFill="1" applyBorder="1"/>
    <xf numFmtId="0" fontId="0" fillId="17" borderId="25" xfId="0" applyFill="1" applyBorder="1"/>
    <xf numFmtId="165" fontId="80" fillId="14" borderId="1" xfId="12" applyNumberFormat="1" applyFont="1" applyFill="1" applyBorder="1" applyProtection="1">
      <alignment vertical="center"/>
    </xf>
    <xf numFmtId="165" fontId="44" fillId="14" borderId="81" xfId="12" applyNumberFormat="1" applyFont="1" applyFill="1" applyBorder="1" applyAlignment="1" applyProtection="1">
      <alignment horizontal="left" vertical="center"/>
    </xf>
    <xf numFmtId="0" fontId="67" fillId="1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78" xfId="0" applyFont="1" applyBorder="1" applyAlignment="1">
      <alignment horizontal="left" vertical="top" wrapText="1"/>
    </xf>
    <xf numFmtId="0" fontId="68" fillId="2" borderId="1" xfId="0" applyFont="1" applyFill="1" applyBorder="1" applyAlignment="1">
      <alignment horizontal="center" vertical="center" wrapText="1"/>
    </xf>
    <xf numFmtId="1" fontId="10" fillId="0" borderId="1" xfId="14" applyNumberFormat="1" applyFont="1" applyFill="1" applyBorder="1" applyAlignment="1">
      <alignment horizontal="left"/>
    </xf>
    <xf numFmtId="3" fontId="10" fillId="0" borderId="25" xfId="14" applyNumberFormat="1" applyFont="1" applyFill="1" applyBorder="1" applyAlignment="1">
      <alignment wrapText="1"/>
    </xf>
    <xf numFmtId="0" fontId="0" fillId="18" borderId="25" xfId="0" applyFill="1" applyBorder="1"/>
    <xf numFmtId="0" fontId="10" fillId="14" borderId="1" xfId="0" applyFont="1" applyFill="1" applyBorder="1" applyAlignment="1">
      <alignment vertical="top" wrapText="1"/>
    </xf>
    <xf numFmtId="0" fontId="8" fillId="14" borderId="79" xfId="0" applyFont="1" applyFill="1" applyBorder="1" applyAlignment="1">
      <alignment horizontal="left" vertical="top" wrapText="1"/>
    </xf>
    <xf numFmtId="0" fontId="10" fillId="0" borderId="1" xfId="14" applyNumberFormat="1" applyFont="1" applyFill="1" applyBorder="1" applyAlignment="1">
      <alignment horizontal="left"/>
    </xf>
    <xf numFmtId="3" fontId="10" fillId="0" borderId="1" xfId="14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horizontal="left"/>
    </xf>
    <xf numFmtId="49" fontId="10" fillId="0" borderId="79" xfId="0" applyNumberFormat="1" applyFont="1" applyBorder="1"/>
    <xf numFmtId="49" fontId="10" fillId="0" borderId="79" xfId="0" applyNumberFormat="1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8" xfId="0" applyFont="1" applyBorder="1" applyAlignment="1">
      <alignment horizontal="left" wrapText="1"/>
    </xf>
    <xf numFmtId="165" fontId="44" fillId="19" borderId="81" xfId="12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5" xfId="0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wrapText="1"/>
    </xf>
    <xf numFmtId="0" fontId="84" fillId="0" borderId="25" xfId="0" applyFont="1" applyBorder="1" applyAlignment="1">
      <alignment horizontal="left" vertical="top" wrapText="1"/>
    </xf>
    <xf numFmtId="0" fontId="10" fillId="0" borderId="69" xfId="0" applyFont="1" applyBorder="1" applyAlignment="1">
      <alignment horizontal="left" vertical="top" wrapText="1"/>
    </xf>
    <xf numFmtId="0" fontId="84" fillId="0" borderId="69" xfId="0" applyFont="1" applyBorder="1" applyAlignment="1">
      <alignment horizontal="left" vertical="top" wrapText="1"/>
    </xf>
    <xf numFmtId="3" fontId="10" fillId="0" borderId="69" xfId="14" applyNumberFormat="1" applyFont="1" applyFill="1" applyBorder="1" applyAlignment="1">
      <alignment horizontal="left"/>
    </xf>
    <xf numFmtId="3" fontId="10" fillId="0" borderId="69" xfId="14" applyNumberFormat="1" applyFont="1" applyFill="1" applyBorder="1" applyAlignment="1">
      <alignment wrapText="1"/>
    </xf>
    <xf numFmtId="0" fontId="14" fillId="0" borderId="69" xfId="0" applyFont="1" applyBorder="1" applyAlignment="1" applyProtection="1">
      <alignment vertical="top" wrapText="1" readingOrder="1"/>
      <protection locked="0"/>
    </xf>
    <xf numFmtId="0" fontId="14" fillId="0" borderId="1" xfId="0" applyFont="1" applyBorder="1" applyAlignment="1" applyProtection="1">
      <alignment vertical="top" wrapText="1" readingOrder="1"/>
      <protection locked="0"/>
    </xf>
    <xf numFmtId="0" fontId="10" fillId="0" borderId="25" xfId="0" applyFont="1" applyBorder="1" applyAlignment="1" applyProtection="1">
      <alignment vertical="top" wrapText="1" readingOrder="1"/>
      <protection locked="0"/>
    </xf>
    <xf numFmtId="165" fontId="72" fillId="19" borderId="81" xfId="12" applyNumberFormat="1" applyFont="1" applyFill="1" applyBorder="1" applyAlignment="1" applyProtection="1">
      <alignment horizontal="left" vertical="center"/>
    </xf>
    <xf numFmtId="3" fontId="10" fillId="0" borderId="1" xfId="14" applyNumberFormat="1" applyFont="1" applyFill="1" applyBorder="1" applyAlignment="1">
      <alignment horizontal="left"/>
    </xf>
    <xf numFmtId="3" fontId="10" fillId="0" borderId="1" xfId="14" applyNumberFormat="1" applyFont="1" applyFill="1" applyBorder="1"/>
    <xf numFmtId="0" fontId="10" fillId="0" borderId="69" xfId="0" applyFont="1" applyFill="1" applyBorder="1" applyAlignment="1">
      <alignment horizontal="left" wrapText="1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84" fillId="0" borderId="78" xfId="0" applyFont="1" applyBorder="1" applyAlignment="1">
      <alignment horizontal="left" vertical="top" wrapText="1"/>
    </xf>
    <xf numFmtId="49" fontId="10" fillId="0" borderId="80" xfId="0" applyNumberFormat="1" applyFont="1" applyBorder="1" applyAlignment="1">
      <alignment wrapText="1"/>
    </xf>
    <xf numFmtId="49" fontId="10" fillId="0" borderId="1" xfId="0" applyNumberFormat="1" applyFont="1" applyBorder="1"/>
    <xf numFmtId="49" fontId="10" fillId="0" borderId="25" xfId="0" applyNumberFormat="1" applyFont="1" applyBorder="1"/>
    <xf numFmtId="0" fontId="10" fillId="0" borderId="79" xfId="0" applyFont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3" fontId="10" fillId="0" borderId="25" xfId="0" applyNumberFormat="1" applyFont="1" applyFill="1" applyBorder="1" applyAlignment="1">
      <alignment wrapText="1"/>
    </xf>
    <xf numFmtId="3" fontId="10" fillId="0" borderId="25" xfId="14" applyNumberFormat="1" applyFont="1" applyFill="1" applyBorder="1"/>
    <xf numFmtId="3" fontId="10" fillId="0" borderId="1" xfId="14" applyNumberFormat="1" applyFont="1" applyBorder="1" applyAlignment="1">
      <alignment horizontal="left"/>
    </xf>
    <xf numFmtId="3" fontId="10" fillId="0" borderId="25" xfId="14" applyNumberFormat="1" applyFont="1" applyBorder="1" applyAlignment="1">
      <alignment wrapText="1"/>
    </xf>
    <xf numFmtId="3" fontId="10" fillId="0" borderId="78" xfId="0" applyNumberFormat="1" applyFont="1" applyFill="1" applyBorder="1" applyAlignment="1">
      <alignment wrapText="1"/>
    </xf>
    <xf numFmtId="3" fontId="10" fillId="0" borderId="79" xfId="14" applyNumberFormat="1" applyFont="1" applyBorder="1" applyAlignment="1">
      <alignment wrapText="1"/>
    </xf>
    <xf numFmtId="3" fontId="10" fillId="0" borderId="79" xfId="0" applyNumberFormat="1" applyFont="1" applyFill="1" applyBorder="1" applyAlignment="1">
      <alignment wrapText="1"/>
    </xf>
    <xf numFmtId="3" fontId="10" fillId="0" borderId="79" xfId="14" applyNumberFormat="1" applyFont="1" applyBorder="1"/>
    <xf numFmtId="3" fontId="10" fillId="0" borderId="1" xfId="0" applyNumberFormat="1" applyFont="1" applyFill="1" applyBorder="1" applyAlignment="1">
      <alignment horizontal="left" vertical="center"/>
    </xf>
    <xf numFmtId="3" fontId="10" fillId="0" borderId="79" xfId="14" applyNumberFormat="1" applyFont="1" applyFill="1" applyBorder="1" applyAlignment="1">
      <alignment wrapText="1"/>
    </xf>
    <xf numFmtId="0" fontId="17" fillId="0" borderId="79" xfId="0" applyFont="1" applyFill="1" applyBorder="1" applyAlignment="1">
      <alignment horizontal="left" vertical="top" wrapText="1"/>
    </xf>
    <xf numFmtId="0" fontId="13" fillId="14" borderId="1" xfId="0" applyFont="1" applyFill="1" applyBorder="1" applyAlignment="1">
      <alignment horizontal="left" vertical="top" wrapText="1"/>
    </xf>
    <xf numFmtId="0" fontId="26" fillId="0" borderId="69" xfId="0" applyFont="1" applyBorder="1" applyAlignment="1" applyProtection="1">
      <alignment vertical="top" wrapText="1" readingOrder="1"/>
      <protection locked="0"/>
    </xf>
    <xf numFmtId="165" fontId="80" fillId="6" borderId="1" xfId="12" applyNumberFormat="1" applyFont="1" applyFill="1" applyBorder="1" applyProtection="1">
      <alignment vertical="center"/>
    </xf>
    <xf numFmtId="165" fontId="44" fillId="6" borderId="81" xfId="12" applyNumberFormat="1" applyFont="1" applyFill="1" applyBorder="1" applyAlignment="1" applyProtection="1">
      <alignment horizontal="left" vertical="center"/>
    </xf>
    <xf numFmtId="0" fontId="68" fillId="6" borderId="1" xfId="0" applyFont="1" applyFill="1" applyBorder="1" applyAlignment="1">
      <alignment horizontal="left" vertical="center"/>
    </xf>
    <xf numFmtId="0" fontId="62" fillId="6" borderId="1" xfId="0" applyFont="1" applyFill="1" applyBorder="1" applyAlignment="1">
      <alignment horizontal="center" vertical="center"/>
    </xf>
    <xf numFmtId="0" fontId="62" fillId="6" borderId="1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84" fillId="14" borderId="12" xfId="0" applyFont="1" applyFill="1" applyBorder="1" applyAlignment="1">
      <alignment horizontal="left" vertical="top" wrapText="1"/>
    </xf>
    <xf numFmtId="0" fontId="8" fillId="14" borderId="9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14" borderId="12" xfId="0" applyFont="1" applyFill="1" applyBorder="1" applyAlignment="1">
      <alignment horizontal="left" vertical="top" wrapText="1"/>
    </xf>
    <xf numFmtId="0" fontId="8" fillId="14" borderId="32" xfId="0" applyFont="1" applyFill="1" applyBorder="1" applyAlignment="1">
      <alignment horizontal="left" vertical="top" wrapText="1"/>
    </xf>
    <xf numFmtId="0" fontId="62" fillId="14" borderId="91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/>
    </xf>
    <xf numFmtId="0" fontId="0" fillId="17" borderId="20" xfId="0" applyFill="1" applyBorder="1"/>
    <xf numFmtId="0" fontId="68" fillId="17" borderId="29" xfId="0" applyFont="1" applyFill="1" applyBorder="1" applyAlignment="1">
      <alignment horizontal="center" vertical="center"/>
    </xf>
    <xf numFmtId="0" fontId="68" fillId="17" borderId="29" xfId="0" applyFont="1" applyFill="1" applyBorder="1" applyAlignment="1">
      <alignment horizontal="center" vertical="center" wrapText="1"/>
    </xf>
    <xf numFmtId="0" fontId="68" fillId="17" borderId="92" xfId="0" applyFont="1" applyFill="1" applyBorder="1" applyAlignment="1">
      <alignment horizontal="center" vertical="center" wrapText="1"/>
    </xf>
    <xf numFmtId="0" fontId="84" fillId="14" borderId="1" xfId="0" applyFont="1" applyFill="1" applyBorder="1" applyAlignment="1">
      <alignment horizontal="left" vertical="top" wrapText="1"/>
    </xf>
    <xf numFmtId="49" fontId="10" fillId="0" borderId="1" xfId="14" applyNumberFormat="1" applyFont="1" applyBorder="1" applyAlignment="1">
      <alignment horizontal="left"/>
    </xf>
    <xf numFmtId="3" fontId="10" fillId="0" borderId="78" xfId="14" applyNumberFormat="1" applyFont="1" applyBorder="1" applyAlignment="1">
      <alignment wrapText="1"/>
    </xf>
    <xf numFmtId="0" fontId="68" fillId="17" borderId="26" xfId="0" applyFont="1" applyFill="1" applyBorder="1" applyAlignment="1">
      <alignment horizontal="center" vertical="center"/>
    </xf>
    <xf numFmtId="0" fontId="68" fillId="17" borderId="26" xfId="0" applyFont="1" applyFill="1" applyBorder="1" applyAlignment="1">
      <alignment horizontal="center" vertical="center" wrapText="1"/>
    </xf>
    <xf numFmtId="0" fontId="68" fillId="17" borderId="52" xfId="0" applyFont="1" applyFill="1" applyBorder="1" applyAlignment="1">
      <alignment horizontal="center" vertical="center" wrapText="1"/>
    </xf>
    <xf numFmtId="49" fontId="10" fillId="14" borderId="1" xfId="0" applyNumberFormat="1" applyFont="1" applyFill="1" applyBorder="1"/>
    <xf numFmtId="49" fontId="8" fillId="14" borderId="1" xfId="0" applyNumberFormat="1" applyFont="1" applyFill="1" applyBorder="1" applyAlignment="1">
      <alignment wrapText="1"/>
    </xf>
    <xf numFmtId="0" fontId="68" fillId="14" borderId="1" xfId="0" applyFont="1" applyFill="1" applyBorder="1" applyAlignment="1">
      <alignment horizontal="left" vertical="center"/>
    </xf>
    <xf numFmtId="168" fontId="10" fillId="0" borderId="1" xfId="14" applyNumberFormat="1" applyFont="1" applyFill="1" applyBorder="1" applyAlignment="1">
      <alignment horizontal="left"/>
    </xf>
    <xf numFmtId="0" fontId="62" fillId="0" borderId="93" xfId="0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wrapText="1"/>
    </xf>
    <xf numFmtId="49" fontId="10" fillId="0" borderId="78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left"/>
    </xf>
    <xf numFmtId="3" fontId="10" fillId="0" borderId="19" xfId="14" applyNumberFormat="1" applyFont="1" applyFill="1" applyBorder="1" applyAlignment="1">
      <alignment horizontal="left"/>
    </xf>
    <xf numFmtId="3" fontId="10" fillId="0" borderId="80" xfId="14" applyNumberFormat="1" applyFont="1" applyFill="1" applyBorder="1" applyAlignment="1">
      <alignment wrapText="1"/>
    </xf>
    <xf numFmtId="165" fontId="44" fillId="6" borderId="1" xfId="12" applyNumberFormat="1" applyFont="1" applyFill="1" applyBorder="1" applyAlignment="1" applyProtection="1">
      <alignment horizontal="left" vertical="center"/>
    </xf>
    <xf numFmtId="49" fontId="8" fillId="14" borderId="25" xfId="0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14" borderId="1" xfId="0" applyFont="1" applyFill="1" applyBorder="1"/>
    <xf numFmtId="0" fontId="13" fillId="14" borderId="13" xfId="0" applyFont="1" applyFill="1" applyBorder="1"/>
    <xf numFmtId="3" fontId="10" fillId="0" borderId="25" xfId="0" applyNumberFormat="1" applyFont="1" applyFill="1" applyBorder="1" applyAlignment="1">
      <alignment horizontal="left" vertical="center" wrapText="1"/>
    </xf>
    <xf numFmtId="3" fontId="10" fillId="0" borderId="25" xfId="0" applyNumberFormat="1" applyFont="1" applyFill="1" applyBorder="1" applyAlignment="1">
      <alignment vertical="center" wrapText="1"/>
    </xf>
    <xf numFmtId="0" fontId="26" fillId="14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165" fontId="42" fillId="6" borderId="35" xfId="15" applyNumberFormat="1" applyFont="1" applyFill="1" applyBorder="1" applyProtection="1">
      <alignment vertical="center"/>
    </xf>
    <xf numFmtId="166" fontId="43" fillId="0" borderId="36" xfId="9" applyNumberFormat="1" applyFont="1" applyBorder="1" applyAlignment="1" applyProtection="1">
      <alignment horizontal="left" vertical="center"/>
    </xf>
    <xf numFmtId="166" fontId="43" fillId="0" borderId="37" xfId="9" applyNumberFormat="1" applyFont="1" applyBorder="1" applyAlignment="1" applyProtection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62" fillId="0" borderId="87" xfId="16" applyFont="1" applyFill="1" applyBorder="1" applyAlignment="1">
      <alignment horizontal="right" vertical="center"/>
    </xf>
    <xf numFmtId="166" fontId="43" fillId="0" borderId="35" xfId="17" applyNumberFormat="1" applyFont="1" applyBorder="1" applyAlignment="1" applyProtection="1">
      <alignment horizontal="left" vertical="center" indent="1"/>
    </xf>
    <xf numFmtId="165" fontId="92" fillId="22" borderId="35" xfId="18" applyNumberFormat="1" applyFont="1" applyFill="1" applyBorder="1" applyProtection="1">
      <alignment vertical="center"/>
    </xf>
    <xf numFmtId="165" fontId="92" fillId="22" borderId="37" xfId="18" applyNumberFormat="1" applyFont="1" applyFill="1" applyBorder="1" applyAlignment="1" applyProtection="1">
      <alignment horizontal="right" vertical="center"/>
    </xf>
    <xf numFmtId="166" fontId="43" fillId="0" borderId="36" xfId="17" applyNumberFormat="1" applyFont="1" applyBorder="1" applyAlignment="1" applyProtection="1">
      <alignment horizontal="left" vertical="center" indent="1"/>
    </xf>
    <xf numFmtId="166" fontId="43" fillId="0" borderId="37" xfId="17" applyNumberFormat="1" applyFont="1" applyBorder="1" applyAlignment="1" applyProtection="1">
      <alignment horizontal="left" vertical="center" indent="1"/>
    </xf>
    <xf numFmtId="166" fontId="43" fillId="0" borderId="0" xfId="17" applyNumberFormat="1" applyFont="1" applyBorder="1" applyAlignment="1" applyProtection="1">
      <alignment horizontal="left" vertical="center" indent="1"/>
    </xf>
    <xf numFmtId="0" fontId="14" fillId="0" borderId="0" xfId="3"/>
    <xf numFmtId="166" fontId="44" fillId="0" borderId="35" xfId="17" applyNumberFormat="1" applyFont="1" applyBorder="1" applyAlignment="1" applyProtection="1">
      <alignment horizontal="left" vertical="center"/>
    </xf>
    <xf numFmtId="166" fontId="44" fillId="0" borderId="36" xfId="17" applyNumberFormat="1" applyFont="1" applyBorder="1" applyAlignment="1" applyProtection="1">
      <alignment horizontal="left" vertical="center"/>
    </xf>
    <xf numFmtId="166" fontId="44" fillId="0" borderId="37" xfId="17" applyNumberFormat="1" applyFont="1" applyBorder="1" applyAlignment="1" applyProtection="1">
      <alignment horizontal="left" vertical="center"/>
    </xf>
    <xf numFmtId="166" fontId="44" fillId="0" borderId="0" xfId="17" applyNumberFormat="1" applyFont="1" applyBorder="1" applyAlignment="1" applyProtection="1">
      <alignment horizontal="left" vertical="center"/>
    </xf>
    <xf numFmtId="0" fontId="31" fillId="0" borderId="0" xfId="16" applyFont="1" applyFill="1" applyAlignment="1">
      <alignment vertical="center"/>
    </xf>
    <xf numFmtId="0" fontId="0" fillId="0" borderId="0" xfId="16" applyFont="1" applyFill="1" applyAlignment="1">
      <alignment vertical="center"/>
    </xf>
    <xf numFmtId="0" fontId="29" fillId="0" borderId="87" xfId="16" applyFont="1" applyFill="1" applyBorder="1" applyAlignment="1">
      <alignment horizontal="center" vertical="center" wrapText="1"/>
    </xf>
    <xf numFmtId="0" fontId="0" fillId="23" borderId="97" xfId="16" applyFont="1" applyFill="1" applyBorder="1" applyAlignment="1">
      <alignment horizontal="center" vertical="center" wrapText="1"/>
    </xf>
    <xf numFmtId="0" fontId="72" fillId="23" borderId="98" xfId="16" applyFont="1" applyFill="1" applyBorder="1" applyAlignment="1">
      <alignment horizontal="left" vertical="center" wrapText="1"/>
    </xf>
    <xf numFmtId="0" fontId="28" fillId="23" borderId="101" xfId="16" applyFont="1" applyFill="1" applyBorder="1" applyAlignment="1">
      <alignment vertical="center"/>
    </xf>
    <xf numFmtId="0" fontId="65" fillId="24" borderId="97" xfId="16" applyFont="1" applyFill="1" applyBorder="1"/>
    <xf numFmtId="0" fontId="31" fillId="24" borderId="79" xfId="16" applyFont="1" applyFill="1" applyBorder="1" applyAlignment="1">
      <alignment horizontal="center"/>
    </xf>
    <xf numFmtId="0" fontId="0" fillId="24" borderId="87" xfId="16" applyFont="1" applyFill="1" applyBorder="1" applyAlignment="1">
      <alignment horizontal="left" vertical="center" wrapText="1"/>
    </xf>
    <xf numFmtId="0" fontId="0" fillId="24" borderId="87" xfId="16" applyFont="1" applyFill="1" applyBorder="1" applyAlignment="1">
      <alignment horizontal="center" vertical="center"/>
    </xf>
    <xf numFmtId="0" fontId="0" fillId="24" borderId="97" xfId="16" applyFont="1" applyFill="1" applyBorder="1" applyAlignment="1">
      <alignment horizontal="center" vertical="center" wrapText="1"/>
    </xf>
    <xf numFmtId="0" fontId="74" fillId="24" borderId="79" xfId="16" applyFont="1" applyFill="1" applyBorder="1" applyAlignment="1">
      <alignment horizontal="center" vertical="center" wrapText="1"/>
    </xf>
    <xf numFmtId="0" fontId="10" fillId="0" borderId="87" xfId="16" applyFont="1" applyFill="1" applyBorder="1" applyAlignment="1">
      <alignment horizontal="left" vertical="top" wrapText="1"/>
    </xf>
    <xf numFmtId="0" fontId="10" fillId="0" borderId="79" xfId="16" applyFont="1" applyFill="1" applyBorder="1" applyAlignment="1">
      <alignment horizontal="left" vertical="top" wrapText="1"/>
    </xf>
    <xf numFmtId="0" fontId="62" fillId="0" borderId="87" xfId="16" applyFont="1" applyFill="1" applyBorder="1" applyAlignment="1">
      <alignment horizontal="center" vertical="center" wrapText="1"/>
    </xf>
    <xf numFmtId="0" fontId="62" fillId="0" borderId="87" xfId="16" applyFont="1" applyFill="1" applyBorder="1" applyAlignment="1">
      <alignment horizontal="left" vertical="center" wrapText="1"/>
    </xf>
    <xf numFmtId="0" fontId="62" fillId="0" borderId="87" xfId="16" applyFont="1" applyFill="1" applyBorder="1" applyAlignment="1">
      <alignment horizontal="center" vertical="center"/>
    </xf>
    <xf numFmtId="0" fontId="0" fillId="0" borderId="87" xfId="16" applyFont="1" applyFill="1" applyBorder="1" applyAlignment="1">
      <alignment horizontal="center" vertical="center"/>
    </xf>
    <xf numFmtId="49" fontId="10" fillId="0" borderId="87" xfId="16" applyNumberFormat="1" applyFont="1" applyFill="1" applyBorder="1" applyAlignment="1">
      <alignment horizontal="left" vertical="center" wrapText="1"/>
    </xf>
    <xf numFmtId="49" fontId="10" fillId="0" borderId="79" xfId="16" applyNumberFormat="1" applyFont="1" applyFill="1" applyBorder="1" applyAlignment="1">
      <alignment horizontal="left" vertical="center" wrapText="1"/>
    </xf>
    <xf numFmtId="0" fontId="18" fillId="25" borderId="87" xfId="16" applyFont="1" applyFill="1" applyBorder="1" applyAlignment="1">
      <alignment horizontal="center" vertical="center"/>
    </xf>
    <xf numFmtId="0" fontId="18" fillId="25" borderId="79" xfId="16" applyFont="1" applyFill="1" applyBorder="1" applyAlignment="1">
      <alignment horizontal="center" vertical="center"/>
    </xf>
    <xf numFmtId="0" fontId="26" fillId="25" borderId="87" xfId="16" applyFont="1" applyFill="1" applyBorder="1" applyAlignment="1">
      <alignment horizontal="center" vertical="center"/>
    </xf>
    <xf numFmtId="0" fontId="28" fillId="24" borderId="87" xfId="16" applyFont="1" applyFill="1" applyBorder="1" applyAlignment="1">
      <alignment horizontal="left" vertical="center"/>
    </xf>
    <xf numFmtId="49" fontId="77" fillId="24" borderId="79" xfId="16" applyNumberFormat="1" applyFont="1" applyFill="1" applyBorder="1" applyAlignment="1">
      <alignment horizontal="left" vertical="center" wrapText="1"/>
    </xf>
    <xf numFmtId="0" fontId="89" fillId="24" borderId="87" xfId="16" applyFont="1" applyFill="1" applyBorder="1"/>
    <xf numFmtId="49" fontId="10" fillId="0" borderId="102" xfId="16" applyNumberFormat="1" applyFont="1" applyFill="1" applyBorder="1" applyAlignment="1">
      <alignment horizontal="left" vertical="center" wrapText="1"/>
    </xf>
    <xf numFmtId="0" fontId="10" fillId="0" borderId="103" xfId="16" applyFont="1" applyFill="1" applyBorder="1" applyAlignment="1">
      <alignment horizontal="left" vertical="top" wrapText="1"/>
    </xf>
    <xf numFmtId="49" fontId="10" fillId="0" borderId="103" xfId="16" applyNumberFormat="1" applyFont="1" applyFill="1" applyBorder="1" applyAlignment="1">
      <alignment horizontal="left" vertical="center" wrapText="1"/>
    </xf>
    <xf numFmtId="0" fontId="28" fillId="0" borderId="87" xfId="16" applyFont="1" applyFill="1" applyBorder="1" applyAlignment="1">
      <alignment horizontal="left" vertical="center"/>
    </xf>
    <xf numFmtId="0" fontId="10" fillId="0" borderId="104" xfId="16" applyFont="1" applyFill="1" applyBorder="1" applyAlignment="1">
      <alignment horizontal="left" vertical="top" wrapText="1"/>
    </xf>
    <xf numFmtId="0" fontId="10" fillId="0" borderId="80" xfId="16" applyFont="1" applyFill="1" applyBorder="1" applyAlignment="1">
      <alignment horizontal="left" vertical="top" wrapText="1"/>
    </xf>
    <xf numFmtId="0" fontId="68" fillId="25" borderId="87" xfId="16" applyFont="1" applyFill="1" applyBorder="1" applyAlignment="1">
      <alignment horizontal="center" vertical="center" wrapText="1"/>
    </xf>
    <xf numFmtId="0" fontId="78" fillId="24" borderId="87" xfId="16" applyFont="1" applyFill="1" applyBorder="1" applyAlignment="1">
      <alignment horizontal="left" vertical="center"/>
    </xf>
    <xf numFmtId="3" fontId="13" fillId="24" borderId="79" xfId="16" applyNumberFormat="1" applyFont="1" applyFill="1" applyBorder="1" applyAlignment="1">
      <alignment horizontal="left" wrapText="1"/>
    </xf>
    <xf numFmtId="0" fontId="62" fillId="24" borderId="87" xfId="16" applyFont="1" applyFill="1" applyBorder="1"/>
    <xf numFmtId="0" fontId="10" fillId="0" borderId="87" xfId="16" applyFont="1" applyFill="1" applyBorder="1" applyAlignment="1">
      <alignment vertical="top" wrapText="1"/>
    </xf>
    <xf numFmtId="0" fontId="10" fillId="0" borderId="103" xfId="16" applyFont="1" applyFill="1" applyBorder="1" applyAlignment="1">
      <alignment vertical="top" wrapText="1"/>
    </xf>
    <xf numFmtId="0" fontId="62" fillId="0" borderId="87" xfId="16" applyFont="1" applyFill="1" applyBorder="1" applyAlignment="1">
      <alignment horizontal="center"/>
    </xf>
    <xf numFmtId="0" fontId="10" fillId="0" borderId="95" xfId="16" applyFont="1" applyFill="1" applyBorder="1" applyAlignment="1">
      <alignment horizontal="left" vertical="top" wrapText="1"/>
    </xf>
    <xf numFmtId="0" fontId="65" fillId="25" borderId="87" xfId="16" applyFont="1" applyFill="1" applyBorder="1"/>
    <xf numFmtId="0" fontId="89" fillId="25" borderId="79" xfId="16" applyFont="1" applyFill="1" applyBorder="1"/>
    <xf numFmtId="0" fontId="78" fillId="24" borderId="97" xfId="16" applyFont="1" applyFill="1" applyBorder="1" applyAlignment="1">
      <alignment horizontal="left" vertical="center"/>
    </xf>
    <xf numFmtId="3" fontId="8" fillId="24" borderId="95" xfId="16" applyNumberFormat="1" applyFont="1" applyFill="1" applyBorder="1" applyAlignment="1">
      <alignment horizontal="left" vertical="center" wrapText="1"/>
    </xf>
    <xf numFmtId="0" fontId="10" fillId="0" borderId="0" xfId="16" applyFont="1" applyFill="1" applyBorder="1" applyAlignment="1">
      <alignment horizontal="left" vertical="top" wrapText="1"/>
    </xf>
    <xf numFmtId="49" fontId="10" fillId="0" borderId="104" xfId="16" applyNumberFormat="1" applyFont="1" applyFill="1" applyBorder="1" applyAlignment="1">
      <alignment horizontal="left" vertical="center" wrapText="1"/>
    </xf>
    <xf numFmtId="0" fontId="68" fillId="25" borderId="87" xfId="16" applyFont="1" applyFill="1" applyBorder="1" applyAlignment="1">
      <alignment horizontal="center" vertical="center"/>
    </xf>
    <xf numFmtId="165" fontId="92" fillId="23" borderId="87" xfId="19" applyNumberFormat="1" applyFont="1" applyFill="1" applyBorder="1" applyProtection="1">
      <alignment vertical="center"/>
    </xf>
    <xf numFmtId="0" fontId="68" fillId="23" borderId="87" xfId="16" applyFont="1" applyFill="1" applyBorder="1" applyAlignment="1">
      <alignment horizontal="left" vertical="center"/>
    </xf>
    <xf numFmtId="0" fontId="65" fillId="24" borderId="87" xfId="16" applyFont="1" applyFill="1" applyBorder="1"/>
    <xf numFmtId="0" fontId="31" fillId="24" borderId="95" xfId="16" applyFont="1" applyFill="1" applyBorder="1" applyAlignment="1">
      <alignment horizontal="center" vertical="top" wrapText="1"/>
    </xf>
    <xf numFmtId="0" fontId="68" fillId="24" borderId="87" xfId="16" applyFont="1" applyFill="1" applyBorder="1" applyAlignment="1">
      <alignment horizontal="center" vertical="center"/>
    </xf>
    <xf numFmtId="165" fontId="92" fillId="24" borderId="87" xfId="19" applyNumberFormat="1" applyFont="1" applyFill="1" applyBorder="1" applyProtection="1">
      <alignment vertical="center"/>
    </xf>
    <xf numFmtId="165" fontId="74" fillId="24" borderId="95" xfId="19" applyNumberFormat="1" applyFont="1" applyFill="1" applyBorder="1" applyAlignment="1" applyProtection="1">
      <alignment horizontal="center" vertical="center"/>
    </xf>
    <xf numFmtId="0" fontId="62" fillId="24" borderId="87" xfId="16" applyFont="1" applyFill="1" applyBorder="1" applyAlignment="1">
      <alignment horizontal="center" vertical="center"/>
    </xf>
    <xf numFmtId="0" fontId="10" fillId="0" borderId="87" xfId="16" applyFont="1" applyFill="1" applyBorder="1" applyAlignment="1">
      <alignment horizontal="left" vertical="center" wrapText="1"/>
    </xf>
    <xf numFmtId="0" fontId="10" fillId="0" borderId="79" xfId="16" applyFont="1" applyFill="1" applyBorder="1" applyAlignment="1">
      <alignment horizontal="left" vertical="center" wrapText="1"/>
    </xf>
    <xf numFmtId="0" fontId="10" fillId="21" borderId="87" xfId="16" applyFont="1" applyFill="1" applyBorder="1" applyAlignment="1">
      <alignment horizontal="left" vertical="center" wrapText="1"/>
    </xf>
    <xf numFmtId="0" fontId="10" fillId="21" borderId="79" xfId="16" applyFont="1" applyFill="1" applyBorder="1" applyAlignment="1">
      <alignment horizontal="left" vertical="center" wrapText="1"/>
    </xf>
    <xf numFmtId="0" fontId="17" fillId="0" borderId="87" xfId="16" applyFont="1" applyFill="1" applyBorder="1" applyAlignment="1">
      <alignment horizontal="left" vertical="center" wrapText="1"/>
    </xf>
    <xf numFmtId="0" fontId="10" fillId="21" borderId="87" xfId="16" applyFont="1" applyFill="1" applyBorder="1" applyAlignment="1">
      <alignment vertical="top" wrapText="1"/>
    </xf>
    <xf numFmtId="0" fontId="10" fillId="21" borderId="79" xfId="16" applyFont="1" applyFill="1" applyBorder="1" applyAlignment="1">
      <alignment horizontal="left" vertical="top" wrapText="1"/>
    </xf>
    <xf numFmtId="0" fontId="10" fillId="21" borderId="80" xfId="16" applyFont="1" applyFill="1" applyBorder="1" applyAlignment="1">
      <alignment horizontal="left" vertical="center" wrapText="1"/>
    </xf>
    <xf numFmtId="0" fontId="10" fillId="0" borderId="80" xfId="16" applyFont="1" applyFill="1" applyBorder="1" applyAlignment="1">
      <alignment horizontal="left" vertical="center" wrapText="1"/>
    </xf>
    <xf numFmtId="0" fontId="10" fillId="25" borderId="79" xfId="16" applyFont="1" applyFill="1" applyBorder="1" applyAlignment="1">
      <alignment horizontal="left" vertical="center" wrapText="1"/>
    </xf>
    <xf numFmtId="0" fontId="77" fillId="24" borderId="79" xfId="16" applyFont="1" applyFill="1" applyBorder="1" applyAlignment="1">
      <alignment horizontal="left" vertical="center" wrapText="1"/>
    </xf>
    <xf numFmtId="3" fontId="10" fillId="0" borderId="87" xfId="14" applyNumberFormat="1" applyFont="1" applyFill="1" applyBorder="1" applyAlignment="1"/>
    <xf numFmtId="3" fontId="10" fillId="0" borderId="102" xfId="16" applyNumberFormat="1" applyFont="1" applyFill="1" applyBorder="1" applyAlignment="1">
      <alignment wrapText="1"/>
    </xf>
    <xf numFmtId="0" fontId="10" fillId="0" borderId="103" xfId="16" applyFont="1" applyFill="1" applyBorder="1" applyAlignment="1">
      <alignment horizontal="left" vertical="center" wrapText="1"/>
    </xf>
    <xf numFmtId="0" fontId="10" fillId="0" borderId="102" xfId="16" applyFont="1" applyFill="1" applyBorder="1" applyAlignment="1">
      <alignment horizontal="left" vertical="center" wrapText="1"/>
    </xf>
    <xf numFmtId="0" fontId="8" fillId="24" borderId="95" xfId="16" applyFont="1" applyFill="1" applyBorder="1" applyAlignment="1">
      <alignment horizontal="left" vertical="top" wrapText="1"/>
    </xf>
    <xf numFmtId="0" fontId="10" fillId="25" borderId="79" xfId="16" applyFont="1" applyFill="1" applyBorder="1" applyAlignment="1">
      <alignment horizontal="left" vertical="top" wrapText="1"/>
    </xf>
    <xf numFmtId="165" fontId="44" fillId="23" borderId="79" xfId="19" applyNumberFormat="1" applyFont="1" applyFill="1" applyBorder="1" applyAlignment="1" applyProtection="1">
      <alignment horizontal="left" vertical="center"/>
    </xf>
    <xf numFmtId="0" fontId="62" fillId="23" borderId="87" xfId="16" applyFont="1" applyFill="1" applyBorder="1" applyAlignment="1">
      <alignment horizontal="center" vertical="center"/>
    </xf>
    <xf numFmtId="0" fontId="79" fillId="24" borderId="96" xfId="16" applyFont="1" applyFill="1" applyBorder="1"/>
    <xf numFmtId="0" fontId="31" fillId="24" borderId="80" xfId="16" applyFont="1" applyFill="1" applyBorder="1" applyAlignment="1">
      <alignment horizontal="center"/>
    </xf>
    <xf numFmtId="0" fontId="89" fillId="24" borderId="96" xfId="16" applyFont="1" applyFill="1" applyBorder="1"/>
    <xf numFmtId="165" fontId="74" fillId="24" borderId="106" xfId="19" applyNumberFormat="1" applyFont="1" applyFill="1" applyBorder="1" applyAlignment="1" applyProtection="1">
      <alignment horizontal="center" vertical="center"/>
    </xf>
    <xf numFmtId="49" fontId="10" fillId="21" borderId="87" xfId="16" applyNumberFormat="1" applyFont="1" applyFill="1" applyBorder="1" applyAlignment="1">
      <alignment vertical="center" wrapText="1"/>
    </xf>
    <xf numFmtId="49" fontId="10" fillId="21" borderId="103" xfId="16" applyNumberFormat="1" applyFont="1" applyFill="1" applyBorder="1" applyAlignment="1">
      <alignment vertical="center" wrapText="1"/>
    </xf>
    <xf numFmtId="49" fontId="10" fillId="0" borderId="87" xfId="16" applyNumberFormat="1" applyFont="1" applyFill="1" applyBorder="1" applyAlignment="1">
      <alignment vertical="center" wrapText="1"/>
    </xf>
    <xf numFmtId="49" fontId="10" fillId="0" borderId="103" xfId="16" applyNumberFormat="1" applyFont="1" applyFill="1" applyBorder="1" applyAlignment="1">
      <alignment vertical="center" wrapText="1"/>
    </xf>
    <xf numFmtId="49" fontId="10" fillId="0" borderId="79" xfId="16" applyNumberFormat="1" applyFont="1" applyFill="1" applyBorder="1" applyAlignment="1">
      <alignment vertical="center" wrapText="1"/>
    </xf>
    <xf numFmtId="49" fontId="10" fillId="0" borderId="80" xfId="16" applyNumberFormat="1" applyFont="1" applyFill="1" applyBorder="1" applyAlignment="1">
      <alignment vertical="center" wrapText="1"/>
    </xf>
    <xf numFmtId="0" fontId="79" fillId="25" borderId="87" xfId="16" applyFont="1" applyFill="1" applyBorder="1"/>
    <xf numFmtId="0" fontId="6" fillId="25" borderId="79" xfId="16" applyFont="1" applyFill="1" applyBorder="1" applyAlignment="1">
      <alignment horizontal="left" vertical="center" wrapText="1"/>
    </xf>
    <xf numFmtId="49" fontId="8" fillId="24" borderId="79" xfId="16" applyNumberFormat="1" applyFont="1" applyFill="1" applyBorder="1" applyAlignment="1">
      <alignment vertical="center" wrapText="1"/>
    </xf>
    <xf numFmtId="49" fontId="10" fillId="0" borderId="95" xfId="16" applyNumberFormat="1" applyFont="1" applyFill="1" applyBorder="1" applyAlignment="1">
      <alignment vertical="center" wrapText="1"/>
    </xf>
    <xf numFmtId="3" fontId="13" fillId="24" borderId="95" xfId="16" applyNumberFormat="1" applyFont="1" applyFill="1" applyBorder="1" applyAlignment="1">
      <alignment horizontal="left" wrapText="1"/>
    </xf>
    <xf numFmtId="0" fontId="10" fillId="0" borderId="96" xfId="16" applyFont="1" applyFill="1" applyBorder="1" applyAlignment="1">
      <alignment vertical="top" wrapText="1"/>
    </xf>
    <xf numFmtId="165" fontId="93" fillId="23" borderId="87" xfId="19" applyNumberFormat="1" applyFont="1" applyFill="1" applyBorder="1" applyProtection="1">
      <alignment vertical="center"/>
    </xf>
    <xf numFmtId="0" fontId="31" fillId="24" borderId="79" xfId="16" applyFont="1" applyFill="1" applyBorder="1" applyAlignment="1">
      <alignment horizontal="center" vertical="center" wrapText="1"/>
    </xf>
    <xf numFmtId="0" fontId="10" fillId="0" borderId="78" xfId="16" applyFont="1" applyFill="1" applyBorder="1" applyAlignment="1">
      <alignment horizontal="left" vertical="top" wrapText="1"/>
    </xf>
    <xf numFmtId="0" fontId="68" fillId="0" borderId="87" xfId="16" applyFont="1" applyFill="1" applyBorder="1" applyAlignment="1">
      <alignment horizontal="center" vertical="center"/>
    </xf>
    <xf numFmtId="0" fontId="6" fillId="25" borderId="78" xfId="16" applyFont="1" applyFill="1" applyBorder="1" applyAlignment="1">
      <alignment horizontal="left" vertical="center" wrapText="1"/>
    </xf>
    <xf numFmtId="0" fontId="10" fillId="24" borderId="87" xfId="16" applyFont="1" applyFill="1" applyBorder="1" applyAlignment="1">
      <alignment horizontal="left" vertical="top" wrapText="1"/>
    </xf>
    <xf numFmtId="3" fontId="8" fillId="24" borderId="95" xfId="16" applyNumberFormat="1" applyFont="1" applyFill="1" applyBorder="1" applyAlignment="1">
      <alignment horizontal="left" wrapText="1"/>
    </xf>
    <xf numFmtId="0" fontId="10" fillId="0" borderId="79" xfId="16" applyFont="1" applyFill="1" applyBorder="1" applyAlignment="1">
      <alignment vertical="top" wrapText="1"/>
    </xf>
    <xf numFmtId="0" fontId="10" fillId="0" borderId="87" xfId="16" applyFont="1" applyFill="1" applyBorder="1" applyAlignment="1">
      <alignment horizontal="left" wrapText="1"/>
    </xf>
    <xf numFmtId="0" fontId="17" fillId="0" borderId="87" xfId="16" applyFont="1" applyFill="1" applyBorder="1" applyAlignment="1">
      <alignment horizontal="left" vertical="top" wrapText="1"/>
    </xf>
    <xf numFmtId="165" fontId="82" fillId="23" borderId="87" xfId="19" applyNumberFormat="1" applyFont="1" applyFill="1" applyBorder="1" applyAlignment="1" applyProtection="1">
      <alignment horizontal="left" vertical="center"/>
    </xf>
    <xf numFmtId="165" fontId="44" fillId="23" borderId="80" xfId="19" applyNumberFormat="1" applyFont="1" applyFill="1" applyBorder="1" applyAlignment="1" applyProtection="1">
      <alignment horizontal="left" vertical="center"/>
    </xf>
    <xf numFmtId="0" fontId="63" fillId="23" borderId="87" xfId="16" applyFont="1" applyFill="1" applyBorder="1" applyAlignment="1">
      <alignment horizontal="left" vertical="center"/>
    </xf>
    <xf numFmtId="0" fontId="83" fillId="23" borderId="87" xfId="16" applyFont="1" applyFill="1" applyBorder="1" applyAlignment="1">
      <alignment horizontal="left" vertical="center"/>
    </xf>
    <xf numFmtId="0" fontId="79" fillId="24" borderId="87" xfId="16" applyFont="1" applyFill="1" applyBorder="1"/>
    <xf numFmtId="0" fontId="31" fillId="24" borderId="79" xfId="16" applyFont="1" applyFill="1" applyBorder="1" applyAlignment="1">
      <alignment horizontal="center" vertical="top" wrapText="1"/>
    </xf>
    <xf numFmtId="3" fontId="13" fillId="24" borderId="95" xfId="14" applyNumberFormat="1" applyFont="1" applyFill="1" applyBorder="1" applyAlignment="1">
      <alignment horizontal="center" wrapText="1"/>
    </xf>
    <xf numFmtId="49" fontId="10" fillId="0" borderId="87" xfId="16" applyNumberFormat="1" applyFont="1" applyFill="1" applyBorder="1" applyAlignment="1">
      <alignment horizontal="left" vertical="top" wrapText="1"/>
    </xf>
    <xf numFmtId="3" fontId="10" fillId="0" borderId="87" xfId="14" applyNumberFormat="1" applyFont="1" applyFill="1" applyBorder="1" applyAlignment="1">
      <alignment horizontal="left" wrapText="1"/>
    </xf>
    <xf numFmtId="0" fontId="10" fillId="0" borderId="104" xfId="16" applyFont="1" applyFill="1" applyBorder="1" applyAlignment="1">
      <alignment wrapText="1"/>
    </xf>
    <xf numFmtId="0" fontId="10" fillId="0" borderId="103" xfId="16" applyFont="1" applyFill="1" applyBorder="1" applyAlignment="1">
      <alignment wrapText="1"/>
    </xf>
    <xf numFmtId="0" fontId="10" fillId="0" borderId="79" xfId="16" applyFont="1" applyFill="1" applyBorder="1" applyAlignment="1">
      <alignment wrapText="1"/>
    </xf>
    <xf numFmtId="3" fontId="8" fillId="24" borderId="105" xfId="16" applyNumberFormat="1" applyFont="1" applyFill="1" applyBorder="1" applyAlignment="1">
      <alignment horizontal="left" vertical="center" wrapText="1"/>
    </xf>
    <xf numFmtId="0" fontId="67" fillId="23" borderId="87" xfId="16" applyFont="1" applyFill="1" applyBorder="1" applyAlignment="1">
      <alignment horizontal="left" vertical="center"/>
    </xf>
    <xf numFmtId="0" fontId="31" fillId="24" borderId="95" xfId="16" applyFont="1" applyFill="1" applyBorder="1" applyAlignment="1">
      <alignment horizontal="center"/>
    </xf>
    <xf numFmtId="49" fontId="8" fillId="24" borderId="95" xfId="16" applyNumberFormat="1" applyFont="1" applyFill="1" applyBorder="1" applyAlignment="1">
      <alignment horizontal="center" vertical="center" wrapText="1"/>
    </xf>
    <xf numFmtId="0" fontId="10" fillId="0" borderId="102" xfId="16" applyFont="1" applyFill="1" applyBorder="1" applyAlignment="1">
      <alignment horizontal="left" vertical="top" wrapText="1"/>
    </xf>
    <xf numFmtId="0" fontId="62" fillId="0" borderId="87" xfId="16" applyFont="1" applyBorder="1" applyAlignment="1">
      <alignment horizontal="center" vertical="center"/>
    </xf>
    <xf numFmtId="49" fontId="10" fillId="0" borderId="87" xfId="16" applyNumberFormat="1" applyFont="1" applyFill="1" applyBorder="1"/>
    <xf numFmtId="49" fontId="10" fillId="0" borderId="103" xfId="16" applyNumberFormat="1" applyFont="1" applyFill="1" applyBorder="1" applyAlignment="1">
      <alignment wrapText="1"/>
    </xf>
    <xf numFmtId="0" fontId="17" fillId="0" borderId="87" xfId="16" applyFont="1" applyFill="1" applyBorder="1" applyAlignment="1">
      <alignment vertical="top" wrapText="1"/>
    </xf>
    <xf numFmtId="0" fontId="89" fillId="25" borderId="80" xfId="16" applyFont="1" applyFill="1" applyBorder="1"/>
    <xf numFmtId="0" fontId="0" fillId="0" borderId="107" xfId="16" applyFont="1" applyFill="1" applyBorder="1" applyAlignment="1">
      <alignment vertical="center"/>
    </xf>
    <xf numFmtId="0" fontId="28" fillId="0" borderId="79" xfId="16" applyFont="1" applyFill="1" applyBorder="1" applyAlignment="1">
      <alignment vertical="center" wrapText="1"/>
    </xf>
    <xf numFmtId="0" fontId="0" fillId="0" borderId="70" xfId="16" applyFont="1" applyFill="1" applyBorder="1" applyAlignment="1">
      <alignment horizontal="left" vertical="center" wrapText="1"/>
    </xf>
    <xf numFmtId="0" fontId="0" fillId="0" borderId="70" xfId="16" applyFont="1" applyFill="1" applyBorder="1" applyAlignment="1">
      <alignment horizontal="center" vertical="center"/>
    </xf>
    <xf numFmtId="0" fontId="0" fillId="0" borderId="88" xfId="16" applyFont="1" applyFill="1" applyBorder="1" applyAlignment="1">
      <alignment horizontal="left" vertical="center" wrapText="1"/>
    </xf>
    <xf numFmtId="0" fontId="0" fillId="0" borderId="88" xfId="16" applyFont="1" applyFill="1" applyBorder="1" applyAlignment="1">
      <alignment horizontal="center" vertical="center"/>
    </xf>
    <xf numFmtId="0" fontId="0" fillId="0" borderId="98" xfId="16" applyFont="1" applyFill="1" applyBorder="1" applyAlignment="1">
      <alignment horizontal="center" vertical="center"/>
    </xf>
    <xf numFmtId="0" fontId="0" fillId="0" borderId="108" xfId="16" applyFont="1" applyFill="1" applyBorder="1" applyAlignment="1">
      <alignment horizontal="center" vertical="center"/>
    </xf>
    <xf numFmtId="0" fontId="0" fillId="0" borderId="95" xfId="16" applyFont="1" applyFill="1" applyBorder="1" applyAlignment="1">
      <alignment vertical="center"/>
    </xf>
    <xf numFmtId="0" fontId="0" fillId="0" borderId="70" xfId="16" applyFont="1" applyFill="1" applyBorder="1" applyAlignment="1">
      <alignment vertical="center"/>
    </xf>
    <xf numFmtId="0" fontId="0" fillId="0" borderId="97" xfId="16" applyFont="1" applyFill="1" applyBorder="1" applyAlignment="1">
      <alignment horizontal="center" vertical="center"/>
    </xf>
    <xf numFmtId="0" fontId="0" fillId="0" borderId="84" xfId="16" applyFont="1" applyFill="1" applyBorder="1" applyAlignment="1">
      <alignment horizontal="center" vertical="center"/>
    </xf>
    <xf numFmtId="0" fontId="89" fillId="0" borderId="0" xfId="16" applyFont="1"/>
    <xf numFmtId="0" fontId="30" fillId="0" borderId="12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right" vertical="center"/>
    </xf>
    <xf numFmtId="2" fontId="27" fillId="0" borderId="2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94" fillId="0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49" fontId="7" fillId="0" borderId="109" xfId="0" applyNumberFormat="1" applyFont="1" applyBorder="1" applyAlignment="1">
      <alignment horizontal="center" vertical="center"/>
    </xf>
    <xf numFmtId="49" fontId="7" fillId="0" borderId="110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left" vertical="center" wrapText="1"/>
    </xf>
    <xf numFmtId="0" fontId="7" fillId="0" borderId="111" xfId="0" applyFont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vertical="center"/>
    </xf>
    <xf numFmtId="0" fontId="14" fillId="14" borderId="1" xfId="0" applyFont="1" applyFill="1" applyBorder="1" applyAlignment="1">
      <alignment vertical="center"/>
    </xf>
    <xf numFmtId="16" fontId="27" fillId="0" borderId="18" xfId="0" quotePrefix="1" applyNumberFormat="1" applyFont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6" fontId="14" fillId="0" borderId="1" xfId="0" quotePrefix="1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26" borderId="0" xfId="0" applyFont="1" applyFill="1" applyAlignment="1">
      <alignment vertical="center"/>
    </xf>
    <xf numFmtId="16" fontId="13" fillId="14" borderId="0" xfId="0" applyNumberFormat="1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left" vertical="center" wrapText="1"/>
    </xf>
    <xf numFmtId="0" fontId="94" fillId="0" borderId="1" xfId="0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left" vertical="center"/>
    </xf>
    <xf numFmtId="0" fontId="94" fillId="0" borderId="1" xfId="0" applyFont="1" applyFill="1" applyBorder="1" applyAlignment="1">
      <alignment vertical="center"/>
    </xf>
    <xf numFmtId="49" fontId="10" fillId="14" borderId="0" xfId="0" applyNumberFormat="1" applyFont="1" applyFill="1" applyBorder="1" applyAlignment="1">
      <alignment horizontal="left" vertical="center"/>
    </xf>
    <xf numFmtId="16" fontId="7" fillId="0" borderId="112" xfId="0" applyNumberFormat="1" applyFont="1" applyFill="1" applyBorder="1" applyAlignment="1">
      <alignment horizontal="left" vertical="center" wrapText="1"/>
    </xf>
    <xf numFmtId="0" fontId="7" fillId="0" borderId="11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6" fillId="14" borderId="1" xfId="0" applyFont="1" applyFill="1" applyBorder="1" applyAlignment="1">
      <alignment vertical="center"/>
    </xf>
    <xf numFmtId="0" fontId="26" fillId="14" borderId="1" xfId="0" applyFont="1" applyFill="1" applyBorder="1" applyAlignment="1">
      <alignment vertical="center" wrapText="1"/>
    </xf>
    <xf numFmtId="0" fontId="6" fillId="14" borderId="87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97" fillId="0" borderId="87" xfId="0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2" fillId="0" borderId="9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6" fillId="14" borderId="9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16" fontId="14" fillId="5" borderId="15" xfId="0" applyNumberFormat="1" applyFont="1" applyFill="1" applyBorder="1" applyAlignment="1">
      <alignment vertical="center"/>
    </xf>
    <xf numFmtId="16" fontId="14" fillId="5" borderId="0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" fontId="10" fillId="0" borderId="19" xfId="14" applyNumberFormat="1" applyFont="1" applyFill="1" applyBorder="1" applyAlignment="1">
      <alignment horizontal="left"/>
    </xf>
    <xf numFmtId="3" fontId="10" fillId="0" borderId="81" xfId="14" applyNumberFormat="1" applyFont="1" applyFill="1" applyBorder="1" applyAlignment="1">
      <alignment wrapText="1"/>
    </xf>
    <xf numFmtId="0" fontId="62" fillId="0" borderId="96" xfId="0" applyFont="1" applyFill="1" applyBorder="1" applyAlignment="1">
      <alignment horizontal="center" vertical="center"/>
    </xf>
    <xf numFmtId="0" fontId="68" fillId="2" borderId="19" xfId="0" applyFont="1" applyFill="1" applyBorder="1" applyAlignment="1">
      <alignment horizontal="center" vertical="center" wrapText="1"/>
    </xf>
    <xf numFmtId="0" fontId="71" fillId="0" borderId="25" xfId="13" applyFont="1" applyBorder="1" applyAlignment="1">
      <alignment horizontal="center" vertical="center" wrapText="1"/>
    </xf>
    <xf numFmtId="0" fontId="71" fillId="0" borderId="1" xfId="13" applyFont="1" applyBorder="1" applyAlignment="1">
      <alignment horizontal="center" vertical="center"/>
    </xf>
    <xf numFmtId="169" fontId="62" fillId="0" borderId="72" xfId="0" applyNumberFormat="1" applyFont="1" applyFill="1" applyBorder="1" applyAlignment="1">
      <alignment horizontal="center" vertical="center" wrapText="1"/>
    </xf>
    <xf numFmtId="0" fontId="101" fillId="0" borderId="1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169" fontId="62" fillId="0" borderId="12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 wrapText="1"/>
    </xf>
    <xf numFmtId="0" fontId="35" fillId="0" borderId="18" xfId="26" applyFont="1" applyFill="1" applyBorder="1" applyAlignment="1">
      <alignment wrapText="1"/>
    </xf>
    <xf numFmtId="49" fontId="35" fillId="0" borderId="18" xfId="26" applyNumberFormat="1" applyFont="1" applyFill="1" applyBorder="1" applyAlignment="1"/>
    <xf numFmtId="49" fontId="35" fillId="0" borderId="18" xfId="26" applyNumberFormat="1" applyFont="1" applyFill="1" applyBorder="1" applyAlignment="1">
      <alignment wrapText="1"/>
    </xf>
    <xf numFmtId="49" fontId="35" fillId="0" borderId="17" xfId="26" applyNumberFormat="1" applyFont="1" applyFill="1" applyBorder="1" applyAlignment="1">
      <alignment wrapText="1"/>
    </xf>
    <xf numFmtId="0" fontId="14" fillId="0" borderId="113" xfId="26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vertical="center" wrapText="1"/>
    </xf>
    <xf numFmtId="4" fontId="14" fillId="0" borderId="114" xfId="0" applyNumberFormat="1" applyFont="1" applyFill="1" applyBorder="1" applyAlignment="1">
      <alignment horizontal="center" vertical="center" wrapText="1"/>
    </xf>
    <xf numFmtId="4" fontId="35" fillId="0" borderId="114" xfId="0" applyNumberFormat="1" applyFont="1" applyFill="1" applyBorder="1" applyAlignment="1">
      <alignment horizontal="center" vertical="center"/>
    </xf>
    <xf numFmtId="0" fontId="14" fillId="0" borderId="72" xfId="26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0" fontId="14" fillId="0" borderId="121" xfId="26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35" fillId="0" borderId="29" xfId="0" applyNumberFormat="1" applyFont="1" applyFill="1" applyBorder="1" applyAlignment="1">
      <alignment horizontal="center" vertical="center"/>
    </xf>
    <xf numFmtId="49" fontId="35" fillId="0" borderId="39" xfId="26" applyNumberFormat="1" applyFont="1" applyFill="1" applyBorder="1" applyAlignment="1">
      <alignment wrapText="1"/>
    </xf>
    <xf numFmtId="0" fontId="96" fillId="0" borderId="13" xfId="0" quotePrefix="1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left" vertical="center"/>
    </xf>
    <xf numFmtId="0" fontId="97" fillId="0" borderId="13" xfId="0" quotePrefix="1" applyFont="1" applyFill="1" applyBorder="1" applyAlignment="1">
      <alignment horizontal="left" vertical="center" wrapText="1"/>
    </xf>
    <xf numFmtId="0" fontId="122" fillId="0" borderId="13" xfId="0" quotePrefix="1" applyFont="1" applyFill="1" applyBorder="1" applyAlignment="1">
      <alignment horizontal="center" vertical="center"/>
    </xf>
    <xf numFmtId="0" fontId="122" fillId="0" borderId="1" xfId="0" quotePrefix="1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0" fillId="26" borderId="87" xfId="16" applyFont="1" applyFill="1" applyBorder="1" applyAlignment="1">
      <alignment horizontal="center" vertical="center"/>
    </xf>
    <xf numFmtId="0" fontId="65" fillId="0" borderId="1" xfId="0" applyFont="1" applyFill="1" applyBorder="1"/>
    <xf numFmtId="0" fontId="68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96" fillId="0" borderId="140" xfId="0" applyFont="1" applyFill="1" applyBorder="1" applyAlignment="1" applyProtection="1">
      <alignment vertical="top" wrapText="1" readingOrder="1"/>
      <protection locked="0"/>
    </xf>
    <xf numFmtId="0" fontId="12" fillId="0" borderId="70" xfId="0" applyFont="1" applyFill="1" applyBorder="1" applyAlignment="1">
      <alignment horizontal="center" vertical="center"/>
    </xf>
    <xf numFmtId="0" fontId="97" fillId="0" borderId="70" xfId="0" applyFont="1" applyFill="1" applyBorder="1" applyAlignment="1">
      <alignment horizontal="center" vertical="center"/>
    </xf>
    <xf numFmtId="0" fontId="6" fillId="14" borderId="96" xfId="0" applyFont="1" applyFill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69" fillId="0" borderId="1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126" fillId="0" borderId="1" xfId="0" applyFont="1" applyBorder="1" applyAlignment="1">
      <alignment horizontal="center" vertical="center" wrapText="1"/>
    </xf>
    <xf numFmtId="1" fontId="127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27" fillId="21" borderId="1" xfId="0" applyNumberFormat="1" applyFont="1" applyFill="1" applyBorder="1" applyAlignment="1">
      <alignment horizontal="center" vertical="center" wrapText="1"/>
    </xf>
    <xf numFmtId="1" fontId="12" fillId="21" borderId="1" xfId="0" applyNumberFormat="1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vertical="center"/>
    </xf>
    <xf numFmtId="165" fontId="42" fillId="0" borderId="0" xfId="8" applyNumberFormat="1" applyFont="1" applyFill="1" applyBorder="1" applyProtection="1">
      <alignment vertical="center"/>
    </xf>
    <xf numFmtId="165" fontId="42" fillId="0" borderId="37" xfId="8" applyNumberFormat="1" applyFont="1" applyFill="1" applyBorder="1" applyAlignment="1" applyProtection="1">
      <alignment horizontal="right" vertical="center"/>
    </xf>
    <xf numFmtId="165" fontId="42" fillId="0" borderId="31" xfId="8" applyNumberFormat="1" applyFont="1" applyFill="1" applyBorder="1" applyProtection="1">
      <alignment vertical="center"/>
    </xf>
    <xf numFmtId="165" fontId="42" fillId="26" borderId="37" xfId="8" applyNumberFormat="1" applyFont="1" applyFill="1" applyBorder="1" applyAlignment="1" applyProtection="1">
      <alignment horizontal="right" vertical="center"/>
    </xf>
    <xf numFmtId="166" fontId="64" fillId="26" borderId="0" xfId="9" applyNumberFormat="1" applyFont="1" applyFill="1" applyBorder="1" applyAlignment="1" applyProtection="1">
      <alignment horizontal="left" vertical="center"/>
    </xf>
    <xf numFmtId="166" fontId="44" fillId="26" borderId="0" xfId="9" applyNumberFormat="1" applyFont="1" applyFill="1" applyBorder="1" applyAlignment="1" applyProtection="1">
      <alignment horizontal="left" vertical="center"/>
    </xf>
    <xf numFmtId="166" fontId="44" fillId="26" borderId="37" xfId="9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64" fillId="0" borderId="1" xfId="2047" applyFont="1" applyFill="1" applyBorder="1" applyAlignment="1">
      <alignment vertical="center"/>
    </xf>
    <xf numFmtId="0" fontId="130" fillId="0" borderId="1" xfId="2047" applyFont="1" applyFill="1" applyBorder="1" applyAlignment="1">
      <alignment horizontal="left" vertical="center" wrapText="1"/>
    </xf>
    <xf numFmtId="0" fontId="130" fillId="0" borderId="1" xfId="2047" applyFont="1" applyFill="1" applyBorder="1" applyAlignment="1">
      <alignment vertical="center" wrapText="1"/>
    </xf>
    <xf numFmtId="0" fontId="4" fillId="0" borderId="1" xfId="2047" applyBorder="1" applyAlignment="1">
      <alignment wrapText="1"/>
    </xf>
    <xf numFmtId="0" fontId="4" fillId="0" borderId="1" xfId="2047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textRotation="90" wrapText="1"/>
    </xf>
    <xf numFmtId="3" fontId="29" fillId="0" borderId="1" xfId="0" applyNumberFormat="1" applyFont="1" applyFill="1" applyBorder="1" applyAlignment="1" applyProtection="1">
      <alignment horizontal="center" vertical="center" textRotation="90" wrapText="1"/>
    </xf>
    <xf numFmtId="0" fontId="29" fillId="2" borderId="1" xfId="0" applyFont="1" applyFill="1" applyBorder="1" applyAlignment="1" applyProtection="1">
      <alignment horizontal="center" vertical="center" textRotation="90" wrapText="1"/>
    </xf>
    <xf numFmtId="0" fontId="12" fillId="0" borderId="141" xfId="2054" applyFont="1" applyBorder="1" applyAlignment="1">
      <alignment horizontal="center" vertical="center"/>
    </xf>
    <xf numFmtId="0" fontId="12" fillId="0" borderId="141" xfId="0" applyFont="1" applyFill="1" applyBorder="1" applyAlignment="1">
      <alignment horizontal="center" vertical="center"/>
    </xf>
    <xf numFmtId="0" fontId="133" fillId="0" borderId="141" xfId="2054" applyFont="1" applyBorder="1" applyAlignment="1">
      <alignment horizontal="center" vertical="center"/>
    </xf>
    <xf numFmtId="0" fontId="97" fillId="0" borderId="141" xfId="0" applyFont="1" applyFill="1" applyBorder="1" applyAlignment="1">
      <alignment horizontal="center" vertical="center"/>
    </xf>
    <xf numFmtId="0" fontId="12" fillId="0" borderId="143" xfId="2054" applyFont="1" applyBorder="1" applyAlignment="1">
      <alignment horizontal="center" vertical="center"/>
    </xf>
    <xf numFmtId="0" fontId="6" fillId="14" borderId="84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center" vertical="center"/>
    </xf>
    <xf numFmtId="0" fontId="0" fillId="26" borderId="0" xfId="0" applyFill="1"/>
    <xf numFmtId="0" fontId="62" fillId="26" borderId="0" xfId="0" applyFont="1" applyFill="1"/>
    <xf numFmtId="0" fontId="0" fillId="18" borderId="87" xfId="16" applyFont="1" applyFill="1" applyBorder="1" applyAlignment="1">
      <alignment horizontal="center" vertical="center"/>
    </xf>
    <xf numFmtId="165" fontId="92" fillId="45" borderId="87" xfId="19" applyNumberFormat="1" applyFont="1" applyFill="1" applyBorder="1" applyProtection="1">
      <alignment vertical="center"/>
    </xf>
    <xf numFmtId="165" fontId="44" fillId="45" borderId="105" xfId="19" applyNumberFormat="1" applyFont="1" applyFill="1" applyBorder="1" applyAlignment="1" applyProtection="1">
      <alignment horizontal="left" vertical="center"/>
    </xf>
    <xf numFmtId="166" fontId="68" fillId="45" borderId="87" xfId="17" applyNumberFormat="1" applyFont="1" applyFill="1" applyBorder="1" applyAlignment="1" applyProtection="1">
      <alignment horizontal="center" vertical="center"/>
    </xf>
    <xf numFmtId="0" fontId="68" fillId="45" borderId="87" xfId="16" applyFont="1" applyFill="1" applyBorder="1" applyAlignment="1">
      <alignment horizontal="left" vertical="center"/>
    </xf>
    <xf numFmtId="0" fontId="65" fillId="18" borderId="87" xfId="16" applyFont="1" applyFill="1" applyBorder="1" applyAlignment="1">
      <alignment horizontal="center" vertical="center"/>
    </xf>
    <xf numFmtId="0" fontId="89" fillId="26" borderId="0" xfId="16" applyFont="1" applyFill="1"/>
    <xf numFmtId="0" fontId="30" fillId="3" borderId="1" xfId="2055" applyFont="1" applyFill="1" applyBorder="1" applyAlignment="1" applyProtection="1">
      <alignment horizontal="right"/>
    </xf>
    <xf numFmtId="0" fontId="14" fillId="0" borderId="0" xfId="2056" applyFont="1" applyAlignment="1" applyProtection="1">
      <alignment horizontal="right"/>
    </xf>
    <xf numFmtId="0" fontId="29" fillId="2" borderId="1" xfId="2055" applyFont="1" applyFill="1" applyBorder="1" applyAlignment="1" applyProtection="1">
      <alignment horizontal="center" vertical="center" wrapText="1"/>
    </xf>
    <xf numFmtId="0" fontId="27" fillId="0" borderId="1" xfId="2055" applyFont="1" applyFill="1" applyBorder="1" applyAlignment="1" applyProtection="1">
      <alignment horizontal="right"/>
      <protection locked="0"/>
    </xf>
    <xf numFmtId="0" fontId="27" fillId="4" borderId="1" xfId="2055" applyFont="1" applyFill="1" applyBorder="1" applyAlignment="1" applyProtection="1">
      <alignment horizontal="right"/>
    </xf>
    <xf numFmtId="0" fontId="27" fillId="0" borderId="1" xfId="2055" applyFont="1" applyBorder="1" applyProtection="1">
      <protection locked="0"/>
    </xf>
    <xf numFmtId="0" fontId="27" fillId="0" borderId="1" xfId="2055" applyFont="1" applyBorder="1" applyAlignment="1" applyProtection="1">
      <alignment wrapText="1"/>
      <protection locked="0"/>
    </xf>
    <xf numFmtId="0" fontId="27" fillId="0" borderId="1" xfId="2057" applyFont="1" applyBorder="1" applyProtection="1">
      <protection locked="0"/>
    </xf>
    <xf numFmtId="0" fontId="7" fillId="0" borderId="0" xfId="2057" applyFont="1" applyProtection="1"/>
    <xf numFmtId="0" fontId="30" fillId="3" borderId="1" xfId="2057" applyFont="1" applyFill="1" applyBorder="1" applyAlignment="1" applyProtection="1">
      <alignment horizontal="right" vertical="center"/>
    </xf>
    <xf numFmtId="0" fontId="30" fillId="4" borderId="1" xfId="2055" applyFont="1" applyFill="1" applyBorder="1" applyAlignment="1" applyProtection="1">
      <alignment horizontal="right"/>
    </xf>
    <xf numFmtId="0" fontId="153" fillId="0" borderId="152" xfId="3589" applyFont="1" applyBorder="1" applyAlignment="1">
      <alignment horizontal="right" vertical="center"/>
    </xf>
    <xf numFmtId="0" fontId="153" fillId="0" borderId="4" xfId="3589" applyFont="1" applyBorder="1" applyAlignment="1">
      <alignment horizontal="right" vertical="center"/>
    </xf>
    <xf numFmtId="0" fontId="139" fillId="0" borderId="168" xfId="3589" applyFont="1" applyBorder="1" applyAlignment="1">
      <alignment vertical="center"/>
    </xf>
    <xf numFmtId="0" fontId="139" fillId="0" borderId="167" xfId="3589" applyFont="1" applyBorder="1" applyAlignment="1">
      <alignment horizontal="center" vertical="center"/>
    </xf>
    <xf numFmtId="0" fontId="139" fillId="0" borderId="141" xfId="3589" applyFont="1" applyBorder="1" applyAlignment="1">
      <alignment horizontal="center" vertical="center"/>
    </xf>
    <xf numFmtId="0" fontId="154" fillId="0" borderId="141" xfId="3589" applyFont="1" applyBorder="1" applyAlignment="1">
      <alignment horizontal="center" vertical="center"/>
    </xf>
    <xf numFmtId="0" fontId="18" fillId="0" borderId="141" xfId="3589" applyFont="1" applyBorder="1" applyAlignment="1">
      <alignment vertical="center"/>
    </xf>
    <xf numFmtId="16" fontId="154" fillId="61" borderId="168" xfId="3589" applyNumberFormat="1" applyFont="1" applyFill="1" applyBorder="1" applyAlignment="1">
      <alignment vertical="center"/>
    </xf>
    <xf numFmtId="16" fontId="154" fillId="61" borderId="167" xfId="3589" applyNumberFormat="1" applyFont="1" applyFill="1" applyBorder="1" applyAlignment="1">
      <alignment vertical="center"/>
    </xf>
    <xf numFmtId="0" fontId="154" fillId="0" borderId="168" xfId="3589" applyFont="1" applyBorder="1" applyAlignment="1">
      <alignment vertical="center"/>
    </xf>
    <xf numFmtId="0" fontId="154" fillId="0" borderId="167" xfId="3589" applyFont="1" applyBorder="1" applyAlignment="1">
      <alignment vertical="center"/>
    </xf>
    <xf numFmtId="0" fontId="68" fillId="0" borderId="167" xfId="3589" applyFont="1" applyBorder="1" applyAlignment="1">
      <alignment vertical="center"/>
    </xf>
    <xf numFmtId="0" fontId="68" fillId="0" borderId="141" xfId="3589" applyFont="1" applyBorder="1" applyAlignment="1">
      <alignment horizontal="center" vertical="center"/>
    </xf>
    <xf numFmtId="0" fontId="139" fillId="0" borderId="23" xfId="3589" applyFont="1" applyBorder="1" applyAlignment="1">
      <alignment horizontal="center" vertical="center"/>
    </xf>
    <xf numFmtId="0" fontId="139" fillId="0" borderId="23" xfId="3589" applyFont="1" applyBorder="1" applyAlignment="1">
      <alignment vertical="center"/>
    </xf>
    <xf numFmtId="0" fontId="139" fillId="0" borderId="38" xfId="3589" applyFont="1" applyBorder="1" applyAlignment="1">
      <alignment vertical="center"/>
    </xf>
    <xf numFmtId="0" fontId="71" fillId="0" borderId="141" xfId="3589" applyFont="1" applyBorder="1" applyAlignment="1">
      <alignment horizontal="center" vertical="center" wrapText="1"/>
    </xf>
    <xf numFmtId="166" fontId="152" fillId="0" borderId="151" xfId="2100" applyNumberFormat="1" applyFont="1" applyBorder="1" applyAlignment="1" applyProtection="1">
      <alignment horizontal="left" vertical="center" indent="1"/>
    </xf>
    <xf numFmtId="166" fontId="152" fillId="0" borderId="150" xfId="2100" applyNumberFormat="1" applyFont="1" applyBorder="1" applyAlignment="1" applyProtection="1">
      <alignment horizontal="left" vertical="center" indent="1"/>
    </xf>
    <xf numFmtId="166" fontId="152" fillId="0" borderId="149" xfId="2100" applyNumberFormat="1" applyFont="1" applyBorder="1" applyAlignment="1" applyProtection="1">
      <alignment horizontal="left" vertical="center" indent="1"/>
    </xf>
    <xf numFmtId="0" fontId="18" fillId="0" borderId="141" xfId="3589" applyFont="1" applyBorder="1" applyAlignment="1">
      <alignment horizontal="center" vertical="center"/>
    </xf>
    <xf numFmtId="0" fontId="26" fillId="0" borderId="168" xfId="3589" applyFont="1" applyBorder="1" applyAlignment="1">
      <alignment horizontal="left" vertical="center"/>
    </xf>
    <xf numFmtId="0" fontId="0" fillId="0" borderId="0" xfId="3589" applyFont="1"/>
    <xf numFmtId="0" fontId="70" fillId="0" borderId="0" xfId="13"/>
    <xf numFmtId="166" fontId="150" fillId="0" borderId="149" xfId="2100" applyNumberFormat="1" applyFont="1" applyBorder="1" applyAlignment="1" applyProtection="1">
      <alignment horizontal="left" vertical="center"/>
    </xf>
    <xf numFmtId="166" fontId="150" fillId="0" borderId="150" xfId="2100" applyNumberFormat="1" applyFont="1" applyBorder="1" applyAlignment="1" applyProtection="1">
      <alignment horizontal="left" vertical="center"/>
    </xf>
    <xf numFmtId="166" fontId="150" fillId="0" borderId="151" xfId="2100" applyNumberFormat="1" applyFont="1" applyBorder="1" applyAlignment="1" applyProtection="1">
      <alignment horizontal="left" vertical="center"/>
    </xf>
    <xf numFmtId="0" fontId="153" fillId="0" borderId="152" xfId="3589" applyFont="1" applyBorder="1" applyAlignment="1">
      <alignment horizontal="right" vertical="center"/>
    </xf>
    <xf numFmtId="0" fontId="153" fillId="0" borderId="4" xfId="3589" applyFont="1" applyBorder="1" applyAlignment="1">
      <alignment horizontal="right" vertical="center"/>
    </xf>
    <xf numFmtId="0" fontId="139" fillId="0" borderId="18" xfId="3589" applyFont="1" applyBorder="1" applyAlignment="1">
      <alignment vertical="center"/>
    </xf>
    <xf numFmtId="0" fontId="139" fillId="0" borderId="0" xfId="3589" applyFont="1" applyAlignment="1">
      <alignment vertical="center"/>
    </xf>
    <xf numFmtId="165" fontId="151" fillId="52" borderId="149" xfId="2102" applyNumberFormat="1" applyFont="1" applyBorder="1" applyProtection="1">
      <alignment vertical="center"/>
    </xf>
    <xf numFmtId="165" fontId="151" fillId="52" borderId="151" xfId="2102" applyNumberFormat="1" applyFont="1" applyBorder="1" applyAlignment="1" applyProtection="1">
      <alignment horizontal="right" vertical="center"/>
    </xf>
    <xf numFmtId="0" fontId="139" fillId="0" borderId="1" xfId="3589" applyFont="1" applyBorder="1" applyAlignment="1">
      <alignment horizontal="left" vertical="center"/>
    </xf>
    <xf numFmtId="0" fontId="139" fillId="0" borderId="13" xfId="3589" applyFont="1" applyBorder="1" applyAlignment="1">
      <alignment vertical="center"/>
    </xf>
    <xf numFmtId="0" fontId="139" fillId="0" borderId="0" xfId="3589" applyFont="1" applyAlignment="1">
      <alignment horizontal="left" vertical="center"/>
    </xf>
    <xf numFmtId="0" fontId="68" fillId="0" borderId="1" xfId="3589" applyFont="1" applyBorder="1" applyAlignment="1">
      <alignment horizontal="center" vertical="center"/>
    </xf>
    <xf numFmtId="0" fontId="139" fillId="0" borderId="0" xfId="2083"/>
    <xf numFmtId="0" fontId="68" fillId="0" borderId="143" xfId="3589" applyFont="1" applyBorder="1" applyAlignment="1">
      <alignment horizontal="center" vertical="center"/>
    </xf>
    <xf numFmtId="0" fontId="18" fillId="0" borderId="0" xfId="3589" applyFont="1" applyAlignment="1">
      <alignment vertical="center"/>
    </xf>
    <xf numFmtId="0" fontId="18" fillId="0" borderId="0" xfId="3589" applyFont="1" applyBorder="1" applyAlignment="1">
      <alignment vertical="center"/>
    </xf>
    <xf numFmtId="0" fontId="139" fillId="0" borderId="0" xfId="3589" applyFont="1" applyBorder="1" applyAlignment="1">
      <alignment vertical="center"/>
    </xf>
    <xf numFmtId="0" fontId="156" fillId="0" borderId="0" xfId="3589" applyFont="1" applyAlignment="1">
      <alignment horizontal="left" vertical="center"/>
    </xf>
    <xf numFmtId="0" fontId="155" fillId="0" borderId="2" xfId="3589" applyFont="1" applyBorder="1" applyAlignment="1">
      <alignment horizontal="center" vertical="center" wrapText="1"/>
    </xf>
    <xf numFmtId="0" fontId="12" fillId="0" borderId="0" xfId="3589" applyFont="1" applyAlignment="1">
      <alignment vertical="center"/>
    </xf>
    <xf numFmtId="0" fontId="18" fillId="0" borderId="143" xfId="3589" applyFont="1" applyBorder="1" applyAlignment="1">
      <alignment vertical="center"/>
    </xf>
    <xf numFmtId="49" fontId="139" fillId="0" borderId="1" xfId="3589" applyNumberFormat="1" applyFont="1" applyBorder="1" applyAlignment="1">
      <alignment horizontal="center" vertical="center"/>
    </xf>
    <xf numFmtId="16" fontId="139" fillId="61" borderId="18" xfId="3589" applyNumberFormat="1" applyFont="1" applyFill="1" applyBorder="1" applyAlignment="1">
      <alignment vertical="center"/>
    </xf>
    <xf numFmtId="16" fontId="139" fillId="61" borderId="13" xfId="3589" applyNumberFormat="1" applyFont="1" applyFill="1" applyBorder="1" applyAlignment="1">
      <alignment vertical="center"/>
    </xf>
    <xf numFmtId="0" fontId="139" fillId="0" borderId="163" xfId="3589" applyFont="1" applyBorder="1" applyAlignment="1">
      <alignment vertical="center"/>
    </xf>
    <xf numFmtId="0" fontId="71" fillId="0" borderId="0" xfId="3589" applyFont="1" applyAlignment="1">
      <alignment vertical="center"/>
    </xf>
    <xf numFmtId="0" fontId="71" fillId="0" borderId="25" xfId="13" applyFont="1" applyBorder="1" applyAlignment="1">
      <alignment horizontal="center" vertical="center" wrapText="1"/>
    </xf>
    <xf numFmtId="0" fontId="71" fillId="0" borderId="1" xfId="13" applyFont="1" applyBorder="1" applyAlignment="1">
      <alignment horizontal="center" vertical="center"/>
    </xf>
    <xf numFmtId="0" fontId="139" fillId="0" borderId="168" xfId="3589" applyFont="1" applyBorder="1" applyAlignment="1">
      <alignment horizontal="left" vertical="center"/>
    </xf>
    <xf numFmtId="0" fontId="139" fillId="0" borderId="167" xfId="3589" applyFont="1" applyBorder="1" applyAlignment="1">
      <alignment vertical="center"/>
    </xf>
    <xf numFmtId="0" fontId="139" fillId="0" borderId="166" xfId="3589" applyFont="1" applyBorder="1" applyAlignment="1">
      <alignment vertical="center"/>
    </xf>
    <xf numFmtId="16" fontId="139" fillId="61" borderId="167" xfId="3589" applyNumberFormat="1" applyFont="1" applyFill="1" applyBorder="1" applyAlignment="1">
      <alignment vertical="center"/>
    </xf>
    <xf numFmtId="16" fontId="139" fillId="61" borderId="166" xfId="3589" applyNumberFormat="1" applyFont="1" applyFill="1" applyBorder="1" applyAlignment="1">
      <alignment vertical="center"/>
    </xf>
    <xf numFmtId="16" fontId="139" fillId="0" borderId="167" xfId="3589" applyNumberFormat="1" applyFont="1" applyBorder="1" applyAlignment="1">
      <alignment vertical="center"/>
    </xf>
    <xf numFmtId="16" fontId="139" fillId="0" borderId="166" xfId="3589" applyNumberFormat="1" applyFont="1" applyBorder="1" applyAlignment="1">
      <alignment vertical="center"/>
    </xf>
    <xf numFmtId="16" fontId="139" fillId="0" borderId="141" xfId="3589" applyNumberFormat="1" applyFont="1" applyBorder="1" applyAlignment="1">
      <alignment horizontal="center" vertical="center"/>
    </xf>
    <xf numFmtId="0" fontId="139" fillId="0" borderId="141" xfId="3589" applyFont="1" applyBorder="1" applyAlignment="1">
      <alignment horizontal="left" vertical="center"/>
    </xf>
    <xf numFmtId="0" fontId="139" fillId="0" borderId="164" xfId="3589" applyFont="1" applyBorder="1" applyAlignment="1">
      <alignment vertical="center"/>
    </xf>
    <xf numFmtId="0" fontId="10" fillId="0" borderId="79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68" fillId="17" borderId="19" xfId="0" applyFont="1" applyFill="1" applyBorder="1" applyAlignment="1">
      <alignment horizontal="center" vertical="center"/>
    </xf>
    <xf numFmtId="0" fontId="14" fillId="0" borderId="0" xfId="3"/>
    <xf numFmtId="0" fontId="62" fillId="0" borderId="87" xfId="16" applyFont="1" applyFill="1" applyBorder="1" applyAlignment="1">
      <alignment horizontal="center" vertical="center"/>
    </xf>
    <xf numFmtId="0" fontId="0" fillId="0" borderId="87" xfId="16" applyFont="1" applyFill="1" applyBorder="1" applyAlignment="1">
      <alignment horizontal="center" vertical="center"/>
    </xf>
    <xf numFmtId="0" fontId="10" fillId="0" borderId="103" xfId="16" applyFont="1" applyFill="1" applyBorder="1" applyAlignment="1">
      <alignment horizontal="left" vertical="top" wrapText="1"/>
    </xf>
    <xf numFmtId="0" fontId="10" fillId="0" borderId="87" xfId="16" applyFont="1" applyFill="1" applyBorder="1" applyAlignment="1">
      <alignment vertical="top" wrapText="1"/>
    </xf>
    <xf numFmtId="0" fontId="68" fillId="25" borderId="87" xfId="16" applyFont="1" applyFill="1" applyBorder="1" applyAlignment="1">
      <alignment horizontal="center" vertical="center"/>
    </xf>
    <xf numFmtId="0" fontId="62" fillId="23" borderId="87" xfId="16" applyFont="1" applyFill="1" applyBorder="1" applyAlignment="1">
      <alignment horizontal="center" vertical="center"/>
    </xf>
    <xf numFmtId="0" fontId="0" fillId="0" borderId="0" xfId="0" applyFill="1"/>
    <xf numFmtId="0" fontId="14" fillId="0" borderId="79" xfId="0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center" vertical="center"/>
    </xf>
    <xf numFmtId="167" fontId="7" fillId="0" borderId="119" xfId="0" applyNumberFormat="1" applyFont="1" applyFill="1" applyBorder="1" applyAlignment="1">
      <alignment horizontal="left" vertical="center"/>
    </xf>
    <xf numFmtId="0" fontId="7" fillId="0" borderId="24" xfId="0" quotePrefix="1" applyFont="1" applyFill="1" applyBorder="1" applyAlignment="1">
      <alignment horizontal="left" vertical="center" wrapText="1"/>
    </xf>
    <xf numFmtId="0" fontId="14" fillId="0" borderId="78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2" xfId="0" quotePrefix="1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vertical="top" wrapText="1" readingOrder="1"/>
      <protection locked="0"/>
    </xf>
    <xf numFmtId="0" fontId="68" fillId="0" borderId="1" xfId="0" quotePrefix="1" applyFont="1" applyFill="1" applyBorder="1" applyAlignment="1">
      <alignment horizontal="center" vertical="center"/>
    </xf>
    <xf numFmtId="0" fontId="26" fillId="63" borderId="87" xfId="16" applyFont="1" applyFill="1" applyBorder="1" applyAlignment="1">
      <alignment horizontal="center" vertical="center"/>
    </xf>
    <xf numFmtId="0" fontId="65" fillId="64" borderId="87" xfId="16" applyFont="1" applyFill="1" applyBorder="1" applyAlignment="1">
      <alignment horizontal="center" vertical="center"/>
    </xf>
    <xf numFmtId="0" fontId="68" fillId="65" borderId="87" xfId="16" applyFont="1" applyFill="1" applyBorder="1" applyAlignment="1">
      <alignment horizontal="center" vertical="center"/>
    </xf>
    <xf numFmtId="14" fontId="43" fillId="0" borderId="35" xfId="9" applyNumberFormat="1" applyFont="1" applyFill="1" applyBorder="1" applyAlignment="1" applyProtection="1">
      <alignment horizontal="left" vertical="center" indent="1"/>
    </xf>
    <xf numFmtId="14" fontId="43" fillId="0" borderId="35" xfId="9" applyNumberFormat="1" applyFont="1" applyBorder="1" applyAlignment="1" applyProtection="1">
      <alignment horizontal="left" vertical="center" indent="1"/>
    </xf>
    <xf numFmtId="166" fontId="43" fillId="0" borderId="35" xfId="9" applyNumberFormat="1" applyFont="1" applyBorder="1" applyAlignment="1" applyProtection="1">
      <alignment horizontal="center" vertical="center"/>
    </xf>
    <xf numFmtId="165" fontId="80" fillId="66" borderId="1" xfId="12" applyNumberFormat="1" applyFont="1" applyFill="1" applyBorder="1" applyProtection="1">
      <alignment vertical="center"/>
    </xf>
    <xf numFmtId="165" fontId="44" fillId="66" borderId="94" xfId="12" applyNumberFormat="1" applyFont="1" applyFill="1" applyBorder="1" applyAlignment="1" applyProtection="1">
      <alignment horizontal="left" vertical="center"/>
    </xf>
    <xf numFmtId="0" fontId="68" fillId="66" borderId="1" xfId="0" applyFont="1" applyFill="1" applyBorder="1" applyAlignment="1">
      <alignment horizontal="left" vertical="center"/>
    </xf>
    <xf numFmtId="0" fontId="62" fillId="66" borderId="1" xfId="0" applyFont="1" applyFill="1" applyBorder="1" applyAlignment="1">
      <alignment horizontal="center" vertical="center"/>
    </xf>
    <xf numFmtId="0" fontId="62" fillId="6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96" fillId="0" borderId="1" xfId="0" applyFont="1" applyFill="1" applyBorder="1" applyAlignment="1" applyProtection="1">
      <alignment vertical="top" wrapText="1" readingOrder="1"/>
      <protection locked="0"/>
    </xf>
    <xf numFmtId="165" fontId="42" fillId="6" borderId="0" xfId="15" applyNumberFormat="1" applyFont="1" applyFill="1" applyBorder="1" applyAlignment="1" applyProtection="1">
      <alignment horizontal="left" vertical="top" wrapText="1"/>
    </xf>
    <xf numFmtId="0" fontId="14" fillId="16" borderId="162" xfId="0" applyFont="1" applyFill="1" applyBorder="1" applyAlignment="1">
      <alignment horizontal="center" vertical="center" wrapText="1"/>
    </xf>
    <xf numFmtId="0" fontId="14" fillId="14" borderId="162" xfId="0" applyFont="1" applyFill="1" applyBorder="1" applyAlignment="1">
      <alignment horizontal="center" vertical="center" wrapText="1"/>
    </xf>
    <xf numFmtId="166" fontId="44" fillId="0" borderId="169" xfId="9" applyNumberFormat="1" applyFont="1" applyBorder="1" applyAlignment="1" applyProtection="1">
      <alignment horizontal="left" vertical="center"/>
    </xf>
    <xf numFmtId="166" fontId="44" fillId="0" borderId="170" xfId="9" applyNumberFormat="1" applyFont="1" applyBorder="1" applyAlignment="1" applyProtection="1">
      <alignment horizontal="left" vertical="center"/>
    </xf>
    <xf numFmtId="0" fontId="31" fillId="0" borderId="0" xfId="0" applyFont="1" applyFill="1" applyBorder="1" applyAlignment="1">
      <alignment vertical="center"/>
    </xf>
    <xf numFmtId="0" fontId="97" fillId="0" borderId="1" xfId="0" applyFont="1" applyFill="1" applyBorder="1" applyAlignment="1">
      <alignment horizontal="center" vertical="center"/>
    </xf>
    <xf numFmtId="166" fontId="43" fillId="27" borderId="35" xfId="9" applyNumberFormat="1" applyFont="1" applyFill="1" applyBorder="1" applyAlignment="1" applyProtection="1">
      <alignment horizontal="left" vertical="center" indent="1"/>
    </xf>
    <xf numFmtId="166" fontId="44" fillId="27" borderId="35" xfId="9" applyNumberFormat="1" applyFont="1" applyFill="1" applyBorder="1" applyAlignment="1" applyProtection="1">
      <alignment horizontal="left" vertical="center"/>
    </xf>
    <xf numFmtId="166" fontId="44" fillId="27" borderId="36" xfId="9" applyNumberFormat="1" applyFont="1" applyFill="1" applyBorder="1" applyAlignment="1" applyProtection="1">
      <alignment horizontal="left" vertical="center"/>
    </xf>
    <xf numFmtId="166" fontId="44" fillId="27" borderId="37" xfId="9" applyNumberFormat="1" applyFont="1" applyFill="1" applyBorder="1" applyAlignment="1" applyProtection="1">
      <alignment horizontal="left" vertical="center"/>
    </xf>
    <xf numFmtId="165" fontId="162" fillId="67" borderId="35" xfId="1202" applyNumberFormat="1" applyFont="1" applyFill="1" applyBorder="1" applyProtection="1">
      <alignment vertical="center"/>
    </xf>
    <xf numFmtId="165" fontId="162" fillId="67" borderId="37" xfId="1202" applyNumberFormat="1" applyFont="1" applyFill="1" applyBorder="1" applyAlignment="1" applyProtection="1">
      <alignment horizontal="right" vertical="center"/>
    </xf>
    <xf numFmtId="166" fontId="27" fillId="67" borderId="35" xfId="9" applyNumberFormat="1" applyFont="1" applyFill="1" applyBorder="1" applyAlignment="1" applyProtection="1">
      <alignment horizontal="left" vertical="center" wrapText="1" indent="1"/>
    </xf>
    <xf numFmtId="166" fontId="27" fillId="67" borderId="36" xfId="9" applyNumberFormat="1" applyFont="1" applyFill="1" applyBorder="1" applyAlignment="1" applyProtection="1">
      <alignment horizontal="left" vertical="center" indent="1"/>
    </xf>
    <xf numFmtId="49" fontId="27" fillId="67" borderId="36" xfId="9" applyNumberFormat="1" applyFont="1" applyFill="1" applyBorder="1" applyAlignment="1" applyProtection="1">
      <alignment horizontal="center" vertical="center"/>
    </xf>
    <xf numFmtId="166" fontId="27" fillId="67" borderId="37" xfId="9" applyNumberFormat="1" applyFont="1" applyFill="1" applyBorder="1" applyAlignment="1" applyProtection="1">
      <alignment horizontal="center" vertical="center"/>
    </xf>
    <xf numFmtId="166" fontId="27" fillId="67" borderId="35" xfId="9" applyNumberFormat="1" applyFont="1" applyFill="1" applyBorder="1" applyAlignment="1" applyProtection="1">
      <alignment horizontal="left" vertical="center" indent="1"/>
    </xf>
    <xf numFmtId="166" fontId="39" fillId="67" borderId="35" xfId="9" applyNumberFormat="1" applyFont="1" applyFill="1" applyBorder="1" applyAlignment="1" applyProtection="1">
      <alignment horizontal="left" vertical="center"/>
    </xf>
    <xf numFmtId="166" fontId="39" fillId="67" borderId="36" xfId="9" applyNumberFormat="1" applyFont="1" applyFill="1" applyBorder="1" applyAlignment="1" applyProtection="1">
      <alignment horizontal="left" vertical="center"/>
    </xf>
    <xf numFmtId="49" fontId="39" fillId="67" borderId="36" xfId="9" applyNumberFormat="1" applyFont="1" applyFill="1" applyBorder="1" applyAlignment="1" applyProtection="1">
      <alignment horizontal="center" vertical="center"/>
    </xf>
    <xf numFmtId="166" fontId="39" fillId="67" borderId="37" xfId="9" applyNumberFormat="1" applyFont="1" applyFill="1" applyBorder="1" applyAlignment="1" applyProtection="1">
      <alignment horizontal="center" vertical="center"/>
    </xf>
    <xf numFmtId="49" fontId="29" fillId="10" borderId="120" xfId="0" applyNumberFormat="1" applyFont="1" applyFill="1" applyBorder="1" applyAlignment="1">
      <alignment horizontal="center" vertical="center" wrapText="1"/>
    </xf>
    <xf numFmtId="0" fontId="35" fillId="7" borderId="18" xfId="26" applyFont="1" applyFill="1" applyBorder="1"/>
    <xf numFmtId="49" fontId="35" fillId="7" borderId="18" xfId="26" applyNumberFormat="1" applyFont="1" applyFill="1" applyBorder="1" applyAlignment="1"/>
    <xf numFmtId="49" fontId="35" fillId="67" borderId="18" xfId="26" applyNumberFormat="1" applyFont="1" applyFill="1" applyBorder="1" applyAlignment="1"/>
    <xf numFmtId="49" fontId="35" fillId="0" borderId="113" xfId="26" applyNumberFormat="1" applyFont="1" applyFill="1" applyBorder="1" applyAlignment="1"/>
    <xf numFmtId="49" fontId="35" fillId="0" borderId="126" xfId="26" applyNumberFormat="1" applyFont="1" applyFill="1" applyBorder="1" applyAlignment="1">
      <alignment wrapText="1"/>
    </xf>
    <xf numFmtId="49" fontId="35" fillId="0" borderId="72" xfId="26" applyNumberFormat="1" applyFont="1" applyFill="1" applyBorder="1" applyAlignment="1"/>
    <xf numFmtId="49" fontId="35" fillId="0" borderId="116" xfId="26" applyNumberFormat="1" applyFont="1" applyFill="1" applyBorder="1" applyAlignment="1"/>
    <xf numFmtId="4" fontId="35" fillId="0" borderId="114" xfId="0" applyNumberFormat="1" applyFont="1" applyFill="1" applyBorder="1" applyAlignment="1">
      <alignment horizontal="center" vertical="center" wrapText="1"/>
    </xf>
    <xf numFmtId="0" fontId="14" fillId="0" borderId="115" xfId="0" applyFont="1" applyFill="1" applyBorder="1"/>
    <xf numFmtId="4" fontId="35" fillId="0" borderId="1" xfId="0" applyNumberFormat="1" applyFont="1" applyFill="1" applyBorder="1" applyAlignment="1">
      <alignment horizontal="center" vertical="center" wrapText="1"/>
    </xf>
    <xf numFmtId="0" fontId="14" fillId="0" borderId="120" xfId="0" applyFont="1" applyFill="1" applyBorder="1"/>
    <xf numFmtId="0" fontId="14" fillId="0" borderId="116" xfId="26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 wrapText="1"/>
    </xf>
    <xf numFmtId="0" fontId="14" fillId="0" borderId="117" xfId="0" applyFont="1" applyFill="1" applyBorder="1"/>
    <xf numFmtId="4" fontId="164" fillId="0" borderId="115" xfId="0" applyNumberFormat="1" applyFont="1" applyFill="1" applyBorder="1" applyAlignment="1">
      <alignment horizontal="center" vertical="center" wrapText="1"/>
    </xf>
    <xf numFmtId="4" fontId="164" fillId="0" borderId="120" xfId="0" applyNumberFormat="1" applyFont="1" applyFill="1" applyBorder="1" applyAlignment="1">
      <alignment horizontal="center" vertical="center" wrapText="1"/>
    </xf>
    <xf numFmtId="4" fontId="164" fillId="0" borderId="92" xfId="0" applyNumberFormat="1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vertical="center" wrapText="1"/>
    </xf>
    <xf numFmtId="4" fontId="35" fillId="0" borderId="123" xfId="0" applyNumberFormat="1" applyFont="1" applyFill="1" applyBorder="1" applyAlignment="1">
      <alignment horizontal="center" vertical="center"/>
    </xf>
    <xf numFmtId="4" fontId="35" fillId="0" borderId="115" xfId="0" applyNumberFormat="1" applyFont="1" applyFill="1" applyBorder="1" applyAlignment="1">
      <alignment horizontal="center" vertical="center" wrapText="1"/>
    </xf>
    <xf numFmtId="0" fontId="14" fillId="0" borderId="120" xfId="0" applyFont="1" applyFill="1" applyBorder="1" applyAlignment="1">
      <alignment vertical="center" wrapText="1"/>
    </xf>
    <xf numFmtId="4" fontId="35" fillId="0" borderId="25" xfId="0" applyNumberFormat="1" applyFont="1" applyFill="1" applyBorder="1" applyAlignment="1">
      <alignment horizontal="center" vertical="center"/>
    </xf>
    <xf numFmtId="4" fontId="35" fillId="0" borderId="120" xfId="0" applyNumberFormat="1" applyFont="1" applyFill="1" applyBorder="1" applyAlignment="1">
      <alignment horizontal="center" vertical="center" wrapText="1"/>
    </xf>
    <xf numFmtId="4" fontId="35" fillId="0" borderId="81" xfId="0" applyNumberFormat="1" applyFont="1" applyFill="1" applyBorder="1" applyAlignment="1">
      <alignment horizontal="center" vertical="center"/>
    </xf>
    <xf numFmtId="4" fontId="35" fillId="0" borderId="117" xfId="0" applyNumberFormat="1" applyFont="1" applyFill="1" applyBorder="1" applyAlignment="1">
      <alignment horizontal="center" vertical="center" wrapText="1"/>
    </xf>
    <xf numFmtId="0" fontId="35" fillId="0" borderId="113" xfId="26" applyFont="1" applyFill="1" applyBorder="1" applyAlignment="1">
      <alignment horizontal="center" vertical="center" wrapText="1"/>
    </xf>
    <xf numFmtId="0" fontId="35" fillId="0" borderId="126" xfId="0" applyFont="1" applyFill="1" applyBorder="1" applyAlignment="1">
      <alignment vertical="center" wrapText="1"/>
    </xf>
    <xf numFmtId="0" fontId="35" fillId="0" borderId="115" xfId="0" applyFont="1" applyFill="1" applyBorder="1" applyAlignment="1">
      <alignment vertical="center" wrapText="1"/>
    </xf>
    <xf numFmtId="0" fontId="35" fillId="0" borderId="72" xfId="26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120" xfId="0" applyFont="1" applyFill="1" applyBorder="1" applyAlignment="1">
      <alignment vertical="center" wrapText="1"/>
    </xf>
    <xf numFmtId="0" fontId="35" fillId="0" borderId="116" xfId="26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165" fontId="162" fillId="67" borderId="173" xfId="20" applyNumberFormat="1" applyFont="1" applyFill="1" applyBorder="1" applyAlignment="1" applyProtection="1">
      <alignment vertical="center"/>
    </xf>
    <xf numFmtId="165" fontId="162" fillId="67" borderId="174" xfId="20" applyNumberFormat="1" applyFont="1" applyFill="1" applyBorder="1" applyAlignment="1" applyProtection="1">
      <alignment vertical="center"/>
    </xf>
    <xf numFmtId="166" fontId="27" fillId="67" borderId="175" xfId="9" applyNumberFormat="1" applyFont="1" applyFill="1" applyBorder="1" applyAlignment="1" applyProtection="1">
      <alignment vertical="center"/>
    </xf>
    <xf numFmtId="166" fontId="27" fillId="67" borderId="176" xfId="9" applyNumberFormat="1" applyFont="1" applyFill="1" applyBorder="1" applyAlignment="1" applyProtection="1">
      <alignment vertical="center"/>
    </xf>
    <xf numFmtId="166" fontId="27" fillId="0" borderId="0" xfId="9" applyNumberFormat="1" applyFont="1" applyBorder="1" applyAlignment="1" applyProtection="1">
      <alignment vertical="center"/>
    </xf>
    <xf numFmtId="0" fontId="25" fillId="0" borderId="0" xfId="4114" applyFont="1" applyAlignment="1">
      <alignment vertical="center"/>
    </xf>
    <xf numFmtId="165" fontId="162" fillId="67" borderId="177" xfId="20" applyNumberFormat="1" applyFont="1" applyFill="1" applyBorder="1" applyAlignment="1" applyProtection="1">
      <alignment vertical="center"/>
    </xf>
    <xf numFmtId="165" fontId="162" fillId="67" borderId="37" xfId="20" applyNumberFormat="1" applyFont="1" applyFill="1" applyBorder="1" applyAlignment="1" applyProtection="1">
      <alignment vertical="center"/>
    </xf>
    <xf numFmtId="166" fontId="27" fillId="67" borderId="35" xfId="9" applyNumberFormat="1" applyFont="1" applyFill="1" applyBorder="1" applyAlignment="1" applyProtection="1">
      <alignment horizontal="left" vertical="center"/>
    </xf>
    <xf numFmtId="166" fontId="27" fillId="67" borderId="178" xfId="9" applyNumberFormat="1" applyFont="1" applyFill="1" applyBorder="1" applyAlignment="1" applyProtection="1">
      <alignment vertical="center"/>
    </xf>
    <xf numFmtId="166" fontId="27" fillId="67" borderId="35" xfId="9" applyNumberFormat="1" applyFont="1" applyFill="1" applyBorder="1" applyAlignment="1" applyProtection="1">
      <alignment vertical="center"/>
    </xf>
    <xf numFmtId="166" fontId="39" fillId="0" borderId="0" xfId="9" applyNumberFormat="1" applyFont="1" applyBorder="1" applyAlignment="1" applyProtection="1">
      <alignment vertical="center"/>
    </xf>
    <xf numFmtId="0" fontId="29" fillId="0" borderId="0" xfId="4114" applyFont="1" applyAlignment="1">
      <alignment vertical="center"/>
    </xf>
    <xf numFmtId="0" fontId="25" fillId="10" borderId="1" xfId="4114" applyFont="1" applyFill="1" applyBorder="1" applyAlignment="1">
      <alignment horizontal="center" vertical="center" wrapText="1"/>
    </xf>
    <xf numFmtId="0" fontId="25" fillId="10" borderId="120" xfId="4114" applyFont="1" applyFill="1" applyBorder="1" applyAlignment="1">
      <alignment horizontal="center" vertical="center" wrapText="1"/>
    </xf>
    <xf numFmtId="0" fontId="25" fillId="0" borderId="72" xfId="4114" applyFont="1" applyBorder="1" applyAlignment="1">
      <alignment vertical="center"/>
    </xf>
    <xf numFmtId="0" fontId="25" fillId="0" borderId="1" xfId="4114" applyFont="1" applyBorder="1" applyAlignment="1">
      <alignment vertical="center" wrapText="1"/>
    </xf>
    <xf numFmtId="4" fontId="25" fillId="0" borderId="120" xfId="4114" applyNumberFormat="1" applyFont="1" applyBorder="1" applyAlignment="1">
      <alignment vertical="center"/>
    </xf>
    <xf numFmtId="0" fontId="25" fillId="2" borderId="72" xfId="4114" applyFont="1" applyFill="1" applyBorder="1" applyAlignment="1">
      <alignment vertical="center"/>
    </xf>
    <xf numFmtId="4" fontId="25" fillId="0" borderId="120" xfId="4114" applyNumberFormat="1" applyFont="1" applyBorder="1" applyAlignment="1">
      <alignment horizontal="center" vertical="center"/>
    </xf>
    <xf numFmtId="4" fontId="25" fillId="0" borderId="117" xfId="4114" applyNumberFormat="1" applyFont="1" applyBorder="1" applyAlignment="1">
      <alignment horizontal="center" vertical="center"/>
    </xf>
    <xf numFmtId="0" fontId="25" fillId="0" borderId="121" xfId="4114" applyFont="1" applyBorder="1" applyAlignment="1">
      <alignment vertical="center"/>
    </xf>
    <xf numFmtId="0" fontId="25" fillId="0" borderId="39" xfId="4114" applyFont="1" applyBorder="1" applyAlignment="1">
      <alignment vertical="center" wrapText="1"/>
    </xf>
    <xf numFmtId="4" fontId="117" fillId="6" borderId="33" xfId="4114" applyNumberFormat="1" applyFont="1" applyFill="1" applyBorder="1" applyAlignment="1">
      <alignment horizontal="center" vertical="center"/>
    </xf>
    <xf numFmtId="0" fontId="165" fillId="0" borderId="0" xfId="4114" applyFont="1" applyAlignment="1">
      <alignment horizontal="right" vertical="center"/>
    </xf>
    <xf numFmtId="4" fontId="29" fillId="0" borderId="0" xfId="4114" applyNumberFormat="1" applyFont="1" applyAlignment="1">
      <alignment vertical="center"/>
    </xf>
    <xf numFmtId="0" fontId="11" fillId="68" borderId="0" xfId="0" applyFont="1" applyFill="1" applyAlignment="1">
      <alignment vertical="center"/>
    </xf>
    <xf numFmtId="0" fontId="30" fillId="0" borderId="3" xfId="0" applyFont="1" applyFill="1" applyBorder="1" applyAlignment="1">
      <alignment horizontal="right" vertical="center"/>
    </xf>
    <xf numFmtId="0" fontId="26" fillId="13" borderId="1" xfId="0" quotePrefix="1" applyFont="1" applyFill="1" applyBorder="1" applyAlignment="1">
      <alignment horizontal="center" vertical="center"/>
    </xf>
    <xf numFmtId="164" fontId="26" fillId="13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 vertical="center"/>
    </xf>
    <xf numFmtId="0" fontId="7" fillId="69" borderId="111" xfId="0" applyFont="1" applyFill="1" applyBorder="1" applyAlignment="1">
      <alignment horizontal="center" vertical="center" wrapText="1"/>
    </xf>
    <xf numFmtId="0" fontId="7" fillId="69" borderId="111" xfId="0" applyFont="1" applyFill="1" applyBorder="1" applyAlignment="1">
      <alignment horizontal="left" vertical="center" wrapText="1"/>
    </xf>
    <xf numFmtId="0" fontId="12" fillId="69" borderId="141" xfId="2054" applyFont="1" applyFill="1" applyBorder="1" applyAlignment="1">
      <alignment horizontal="center" vertical="center"/>
    </xf>
    <xf numFmtId="0" fontId="12" fillId="69" borderId="1" xfId="0" applyFont="1" applyFill="1" applyBorder="1" applyAlignment="1">
      <alignment horizontal="center" vertical="center"/>
    </xf>
    <xf numFmtId="0" fontId="12" fillId="69" borderId="141" xfId="0" applyFont="1" applyFill="1" applyBorder="1" applyAlignment="1">
      <alignment horizontal="center" vertical="center"/>
    </xf>
    <xf numFmtId="0" fontId="12" fillId="69" borderId="70" xfId="0" applyFont="1" applyFill="1" applyBorder="1" applyAlignment="1">
      <alignment horizontal="center" vertical="center"/>
    </xf>
    <xf numFmtId="0" fontId="12" fillId="69" borderId="87" xfId="0" applyFont="1" applyFill="1" applyBorder="1" applyAlignment="1">
      <alignment horizontal="center" vertical="center"/>
    </xf>
    <xf numFmtId="0" fontId="11" fillId="69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12" fillId="0" borderId="19" xfId="2054" applyFont="1" applyBorder="1" applyAlignment="1">
      <alignment horizontal="center" vertical="center"/>
    </xf>
    <xf numFmtId="0" fontId="26" fillId="14" borderId="12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26" fillId="0" borderId="167" xfId="3589" applyFont="1" applyBorder="1" applyAlignment="1">
      <alignment vertical="center"/>
    </xf>
    <xf numFmtId="0" fontId="26" fillId="0" borderId="168" xfId="3589" applyFont="1" applyBorder="1" applyAlignment="1">
      <alignment vertical="center"/>
    </xf>
    <xf numFmtId="0" fontId="26" fillId="0" borderId="166" xfId="3589" applyFont="1" applyBorder="1" applyAlignment="1">
      <alignment vertical="center"/>
    </xf>
    <xf numFmtId="16" fontId="26" fillId="61" borderId="167" xfId="3589" applyNumberFormat="1" applyFont="1" applyFill="1" applyBorder="1" applyAlignment="1">
      <alignment vertical="center"/>
    </xf>
    <xf numFmtId="16" fontId="26" fillId="61" borderId="166" xfId="3589" applyNumberFormat="1" applyFont="1" applyFill="1" applyBorder="1" applyAlignment="1">
      <alignment vertical="center"/>
    </xf>
    <xf numFmtId="0" fontId="18" fillId="0" borderId="168" xfId="3589" applyFont="1" applyBorder="1" applyAlignment="1">
      <alignment vertical="center"/>
    </xf>
    <xf numFmtId="0" fontId="154" fillId="0" borderId="168" xfId="3589" applyFont="1" applyBorder="1" applyAlignment="1">
      <alignment horizontal="center" vertical="center"/>
    </xf>
    <xf numFmtId="0" fontId="26" fillId="0" borderId="1" xfId="3589" applyFont="1" applyBorder="1" applyAlignment="1">
      <alignment horizontal="left" vertical="center"/>
    </xf>
    <xf numFmtId="165" fontId="42" fillId="14" borderId="172" xfId="12" applyNumberFormat="1" applyFont="1" applyFill="1" applyBorder="1" applyAlignment="1" applyProtection="1">
      <alignment horizontal="right" vertical="center"/>
    </xf>
    <xf numFmtId="166" fontId="44" fillId="14" borderId="171" xfId="9" applyNumberFormat="1" applyFont="1" applyFill="1" applyBorder="1" applyAlignment="1" applyProtection="1">
      <alignment horizontal="left" vertical="center"/>
    </xf>
    <xf numFmtId="166" fontId="44" fillId="14" borderId="54" xfId="9" applyNumberFormat="1" applyFont="1" applyFill="1" applyBorder="1" applyAlignment="1" applyProtection="1">
      <alignment horizontal="left" vertical="center"/>
    </xf>
    <xf numFmtId="166" fontId="44" fillId="14" borderId="172" xfId="9" applyNumberFormat="1" applyFont="1" applyFill="1" applyBorder="1" applyAlignment="1" applyProtection="1">
      <alignment horizontal="left" vertical="center"/>
    </xf>
    <xf numFmtId="0" fontId="96" fillId="0" borderId="69" xfId="0" applyFont="1" applyBorder="1" applyAlignment="1" applyProtection="1">
      <alignment vertical="top" wrapText="1" readingOrder="1"/>
      <protection locked="0"/>
    </xf>
    <xf numFmtId="0" fontId="157" fillId="0" borderId="1" xfId="3589" applyFont="1" applyFill="1" applyBorder="1" applyAlignment="1">
      <alignment horizontal="left" vertical="top" wrapText="1"/>
    </xf>
    <xf numFmtId="0" fontId="157" fillId="0" borderId="32" xfId="3589" applyFont="1" applyFill="1" applyBorder="1" applyAlignment="1">
      <alignment horizontal="left" vertical="top" wrapText="1"/>
    </xf>
    <xf numFmtId="0" fontId="62" fillId="0" borderId="156" xfId="3589" applyFont="1" applyFill="1" applyBorder="1" applyAlignment="1">
      <alignment horizontal="center" vertical="center"/>
    </xf>
    <xf numFmtId="0" fontId="62" fillId="0" borderId="1" xfId="3589" applyFont="1" applyFill="1" applyBorder="1" applyAlignment="1">
      <alignment horizontal="center" vertical="center" wrapText="1"/>
    </xf>
    <xf numFmtId="0" fontId="157" fillId="0" borderId="25" xfId="3589" applyFont="1" applyFill="1" applyBorder="1" applyAlignment="1">
      <alignment horizontal="left" vertical="top" wrapText="1"/>
    </xf>
    <xf numFmtId="0" fontId="157" fillId="0" borderId="143" xfId="3589" applyFont="1" applyFill="1" applyBorder="1" applyAlignment="1">
      <alignment horizontal="left" vertical="top" wrapText="1"/>
    </xf>
    <xf numFmtId="0" fontId="157" fillId="0" borderId="155" xfId="3589" applyFont="1" applyFill="1" applyBorder="1" applyAlignment="1">
      <alignment horizontal="left" vertical="top" wrapText="1"/>
    </xf>
    <xf numFmtId="0" fontId="62" fillId="0" borderId="143" xfId="3589" applyFont="1" applyFill="1" applyBorder="1" applyAlignment="1">
      <alignment horizontal="center" vertical="center"/>
    </xf>
    <xf numFmtId="0" fontId="70" fillId="0" borderId="143" xfId="3589" applyFont="1" applyFill="1" applyBorder="1" applyAlignment="1">
      <alignment horizontal="center" vertical="center"/>
    </xf>
    <xf numFmtId="0" fontId="157" fillId="0" borderId="143" xfId="3589" applyFont="1" applyFill="1" applyBorder="1" applyAlignment="1">
      <alignment vertical="top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49" fontId="159" fillId="0" borderId="1" xfId="0" applyNumberFormat="1" applyFont="1" applyFill="1" applyBorder="1" applyAlignment="1">
      <alignment horizontal="center" vertical="center"/>
    </xf>
    <xf numFmtId="0" fontId="159" fillId="0" borderId="18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top" wrapText="1"/>
    </xf>
    <xf numFmtId="0" fontId="10" fillId="11" borderId="81" xfId="0" applyFont="1" applyFill="1" applyBorder="1" applyAlignment="1">
      <alignment horizontal="left" vertical="top" wrapText="1"/>
    </xf>
    <xf numFmtId="0" fontId="62" fillId="11" borderId="12" xfId="0" applyFont="1" applyFill="1" applyBorder="1" applyAlignment="1">
      <alignment horizontal="center" vertical="center"/>
    </xf>
    <xf numFmtId="0" fontId="62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left" vertical="top" wrapText="1"/>
    </xf>
    <xf numFmtId="0" fontId="62" fillId="11" borderId="1" xfId="0" applyFont="1" applyFill="1" applyBorder="1" applyAlignment="1">
      <alignment horizontal="center" vertical="center"/>
    </xf>
    <xf numFmtId="0" fontId="62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62" fillId="11" borderId="19" xfId="0" applyFont="1" applyFill="1" applyBorder="1" applyAlignment="1">
      <alignment horizontal="center" vertical="center"/>
    </xf>
    <xf numFmtId="0" fontId="62" fillId="11" borderId="1" xfId="0" quotePrefix="1" applyFont="1" applyFill="1" applyBorder="1" applyAlignment="1">
      <alignment horizontal="center" vertical="center" wrapText="1"/>
    </xf>
    <xf numFmtId="0" fontId="62" fillId="11" borderId="1" xfId="0" quotePrefix="1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left" vertical="top" wrapText="1"/>
    </xf>
    <xf numFmtId="0" fontId="10" fillId="11" borderId="13" xfId="0" applyFont="1" applyFill="1" applyBorder="1" applyAlignment="1" applyProtection="1">
      <alignment vertical="top" wrapText="1" readingOrder="1"/>
      <protection locked="0"/>
    </xf>
    <xf numFmtId="0" fontId="68" fillId="11" borderId="1" xfId="0" quotePrefix="1" applyFont="1" applyFill="1" applyBorder="1" applyAlignment="1">
      <alignment horizontal="left" vertical="center" wrapText="1"/>
    </xf>
    <xf numFmtId="0" fontId="68" fillId="11" borderId="1" xfId="0" quotePrefix="1" applyFont="1" applyFill="1" applyBorder="1" applyAlignment="1">
      <alignment horizontal="center" vertical="center"/>
    </xf>
    <xf numFmtId="0" fontId="68" fillId="11" borderId="1" xfId="0" applyFont="1" applyFill="1" applyBorder="1" applyAlignment="1">
      <alignment horizontal="center" vertical="center" wrapText="1"/>
    </xf>
    <xf numFmtId="0" fontId="62" fillId="11" borderId="0" xfId="0" quotePrefix="1" applyFont="1" applyFill="1" applyBorder="1" applyAlignment="1">
      <alignment horizontal="left" vertical="center" wrapText="1"/>
    </xf>
    <xf numFmtId="0" fontId="62" fillId="11" borderId="1" xfId="0" quotePrefix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66" fontId="169" fillId="0" borderId="35" xfId="9" applyNumberFormat="1" applyFont="1" applyBorder="1" applyAlignment="1" applyProtection="1">
      <alignment horizontal="left" vertical="center" indent="1"/>
    </xf>
    <xf numFmtId="0" fontId="29" fillId="0" borderId="1" xfId="0" applyFont="1" applyFill="1" applyBorder="1" applyAlignment="1">
      <alignment horizontal="center" vertical="center" wrapText="1"/>
    </xf>
    <xf numFmtId="0" fontId="170" fillId="0" borderId="1" xfId="0" quotePrefix="1" applyFont="1" applyFill="1" applyBorder="1" applyAlignment="1">
      <alignment horizontal="center" vertical="center"/>
    </xf>
    <xf numFmtId="0" fontId="101" fillId="2" borderId="29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1" fillId="0" borderId="10" xfId="0" applyFont="1" applyFill="1" applyBorder="1" applyAlignment="1">
      <alignment horizontal="right" vertical="center"/>
    </xf>
    <xf numFmtId="0" fontId="171" fillId="0" borderId="3" xfId="0" applyFont="1" applyFill="1" applyBorder="1" applyAlignment="1">
      <alignment horizontal="right" vertical="center"/>
    </xf>
    <xf numFmtId="0" fontId="171" fillId="0" borderId="4" xfId="0" applyFont="1" applyFill="1" applyBorder="1" applyAlignment="1">
      <alignment horizontal="right" vertical="center"/>
    </xf>
    <xf numFmtId="0" fontId="62" fillId="61" borderId="141" xfId="743" applyFont="1" applyFill="1" applyBorder="1" applyAlignment="1">
      <alignment horizontal="center" vertical="center"/>
    </xf>
    <xf numFmtId="0" fontId="0" fillId="0" borderId="0" xfId="4115" applyFont="1"/>
    <xf numFmtId="0" fontId="157" fillId="62" borderId="141" xfId="4115" applyFont="1" applyFill="1" applyBorder="1" applyAlignment="1">
      <alignment horizontal="left" vertical="top" wrapText="1"/>
    </xf>
    <xf numFmtId="0" fontId="157" fillId="62" borderId="148" xfId="4115" applyFont="1" applyFill="1" applyBorder="1" applyAlignment="1">
      <alignment horizontal="left" vertical="top" wrapText="1"/>
    </xf>
    <xf numFmtId="0" fontId="62" fillId="62" borderId="156" xfId="4115" applyFont="1" applyFill="1" applyBorder="1" applyAlignment="1">
      <alignment horizontal="center" vertical="center"/>
    </xf>
    <xf numFmtId="0" fontId="62" fillId="62" borderId="141" xfId="4115" applyFont="1" applyFill="1" applyBorder="1" applyAlignment="1">
      <alignment horizontal="center" vertical="center" wrapText="1"/>
    </xf>
    <xf numFmtId="0" fontId="12" fillId="0" borderId="141" xfId="20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2" fillId="0" borderId="1" xfId="2054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 wrapText="1"/>
    </xf>
    <xf numFmtId="0" fontId="7" fillId="67" borderId="111" xfId="0" applyFont="1" applyFill="1" applyBorder="1" applyAlignment="1">
      <alignment horizontal="center" vertical="center" wrapText="1"/>
    </xf>
    <xf numFmtId="0" fontId="7" fillId="67" borderId="111" xfId="0" applyFont="1" applyFill="1" applyBorder="1" applyAlignment="1">
      <alignment horizontal="left" vertical="center" wrapText="1"/>
    </xf>
    <xf numFmtId="0" fontId="12" fillId="67" borderId="141" xfId="2054" applyFont="1" applyFill="1" applyBorder="1" applyAlignment="1">
      <alignment horizontal="center" vertical="center"/>
    </xf>
    <xf numFmtId="0" fontId="12" fillId="67" borderId="1" xfId="0" applyFont="1" applyFill="1" applyBorder="1" applyAlignment="1">
      <alignment horizontal="center" vertical="center"/>
    </xf>
    <xf numFmtId="0" fontId="12" fillId="67" borderId="141" xfId="0" applyFont="1" applyFill="1" applyBorder="1" applyAlignment="1">
      <alignment horizontal="center" vertical="center"/>
    </xf>
    <xf numFmtId="0" fontId="12" fillId="67" borderId="70" xfId="0" applyFont="1" applyFill="1" applyBorder="1" applyAlignment="1">
      <alignment horizontal="center" vertical="center"/>
    </xf>
    <xf numFmtId="0" fontId="12" fillId="67" borderId="87" xfId="0" applyFont="1" applyFill="1" applyBorder="1" applyAlignment="1">
      <alignment horizontal="center" vertical="center"/>
    </xf>
    <xf numFmtId="0" fontId="97" fillId="0" borderId="69" xfId="0" applyFont="1" applyFill="1" applyBorder="1" applyAlignment="1" applyProtection="1">
      <alignment horizontal="center" wrapText="1" readingOrder="1"/>
      <protection locked="0"/>
    </xf>
    <xf numFmtId="0" fontId="12" fillId="67" borderId="111" xfId="0" applyFont="1" applyFill="1" applyBorder="1" applyAlignment="1">
      <alignment horizontal="center" vertical="center" wrapText="1"/>
    </xf>
    <xf numFmtId="0" fontId="12" fillId="67" borderId="111" xfId="0" applyFont="1" applyFill="1" applyBorder="1" applyAlignment="1">
      <alignment horizontal="left" vertical="center" wrapText="1"/>
    </xf>
    <xf numFmtId="0" fontId="12" fillId="11" borderId="111" xfId="0" applyFont="1" applyFill="1" applyBorder="1" applyAlignment="1">
      <alignment horizontal="center" vertical="center" wrapText="1"/>
    </xf>
    <xf numFmtId="0" fontId="12" fillId="11" borderId="111" xfId="0" applyFont="1" applyFill="1" applyBorder="1" applyAlignment="1">
      <alignment horizontal="left" vertical="center" wrapText="1"/>
    </xf>
    <xf numFmtId="0" fontId="12" fillId="11" borderId="141" xfId="2054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41" xfId="0" applyFont="1" applyFill="1" applyBorder="1" applyAlignment="1">
      <alignment horizontal="center" vertical="center"/>
    </xf>
    <xf numFmtId="0" fontId="12" fillId="11" borderId="88" xfId="0" applyFont="1" applyFill="1" applyBorder="1" applyAlignment="1">
      <alignment horizontal="center" vertical="center"/>
    </xf>
    <xf numFmtId="0" fontId="12" fillId="11" borderId="96" xfId="0" applyFont="1" applyFill="1" applyBorder="1" applyAlignment="1">
      <alignment horizontal="center" vertical="center"/>
    </xf>
    <xf numFmtId="0" fontId="7" fillId="67" borderId="1" xfId="0" applyFont="1" applyFill="1" applyBorder="1" applyAlignment="1">
      <alignment horizontal="center" vertical="center" wrapText="1"/>
    </xf>
    <xf numFmtId="0" fontId="0" fillId="67" borderId="1" xfId="0" applyFont="1" applyFill="1" applyBorder="1" applyAlignment="1">
      <alignment wrapText="1"/>
    </xf>
    <xf numFmtId="0" fontId="12" fillId="67" borderId="142" xfId="2054" applyFont="1" applyFill="1" applyBorder="1" applyAlignment="1">
      <alignment horizontal="center" vertical="center"/>
    </xf>
    <xf numFmtId="0" fontId="12" fillId="67" borderId="9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26" borderId="6" xfId="0" applyFont="1" applyFill="1" applyBorder="1" applyAlignment="1">
      <alignment horizontal="left" vertical="top" wrapText="1"/>
    </xf>
    <xf numFmtId="0" fontId="10" fillId="26" borderId="0" xfId="0" applyFont="1" applyFill="1" applyBorder="1" applyAlignment="1">
      <alignment horizontal="left" vertical="top" wrapText="1"/>
    </xf>
    <xf numFmtId="0" fontId="62" fillId="26" borderId="1" xfId="0" quotePrefix="1" applyFont="1" applyFill="1" applyBorder="1" applyAlignment="1">
      <alignment horizontal="center" vertical="center" wrapText="1"/>
    </xf>
    <xf numFmtId="0" fontId="62" fillId="26" borderId="1" xfId="0" quotePrefix="1" applyFont="1" applyFill="1" applyBorder="1" applyAlignment="1">
      <alignment horizontal="center" vertical="center"/>
    </xf>
    <xf numFmtId="0" fontId="62" fillId="26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center" vertical="center"/>
    </xf>
    <xf numFmtId="0" fontId="68" fillId="18" borderId="1" xfId="0" quotePrefix="1" applyFont="1" applyFill="1" applyBorder="1" applyAlignment="1">
      <alignment horizontal="center" vertical="center" wrapText="1"/>
    </xf>
    <xf numFmtId="0" fontId="10" fillId="26" borderId="1" xfId="0" applyFont="1" applyFill="1" applyBorder="1" applyAlignment="1">
      <alignment horizontal="left" vertical="center" wrapText="1"/>
    </xf>
    <xf numFmtId="0" fontId="10" fillId="26" borderId="20" xfId="0" applyFont="1" applyFill="1" applyBorder="1" applyAlignment="1">
      <alignment horizontal="left" vertical="center" wrapText="1"/>
    </xf>
    <xf numFmtId="0" fontId="62" fillId="26" borderId="1" xfId="0" applyFont="1" applyFill="1" applyBorder="1" applyAlignment="1">
      <alignment horizontal="center" vertical="center"/>
    </xf>
    <xf numFmtId="0" fontId="62" fillId="26" borderId="19" xfId="0" applyFont="1" applyFill="1" applyBorder="1" applyAlignment="1">
      <alignment horizontal="center" vertical="center"/>
    </xf>
    <xf numFmtId="0" fontId="62" fillId="26" borderId="18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left" vertical="center" wrapText="1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6" fillId="18" borderId="13" xfId="0" quotePrefix="1" applyFont="1" applyFill="1" applyBorder="1" applyAlignment="1">
      <alignment horizontal="left" vertical="center" wrapText="1"/>
    </xf>
    <xf numFmtId="0" fontId="79" fillId="64" borderId="1" xfId="0" applyFont="1" applyFill="1" applyBorder="1"/>
    <xf numFmtId="0" fontId="0" fillId="64" borderId="13" xfId="0" applyFill="1" applyBorder="1"/>
    <xf numFmtId="0" fontId="68" fillId="64" borderId="12" xfId="0" applyFont="1" applyFill="1" applyBorder="1" applyAlignment="1">
      <alignment horizontal="center" vertical="center"/>
    </xf>
    <xf numFmtId="0" fontId="68" fillId="64" borderId="12" xfId="0" applyFont="1" applyFill="1" applyBorder="1" applyAlignment="1">
      <alignment horizontal="center" vertical="center" wrapText="1"/>
    </xf>
    <xf numFmtId="0" fontId="171" fillId="0" borderId="152" xfId="0" applyFont="1" applyFill="1" applyBorder="1" applyAlignment="1">
      <alignment horizontal="right" vertical="center"/>
    </xf>
    <xf numFmtId="0" fontId="171" fillId="0" borderId="12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0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horizontal="left" vertical="top" wrapText="1"/>
    </xf>
    <xf numFmtId="0" fontId="10" fillId="26" borderId="13" xfId="0" applyFont="1" applyFill="1" applyBorder="1" applyAlignment="1">
      <alignment horizontal="left" vertical="top" wrapText="1"/>
    </xf>
    <xf numFmtId="166" fontId="43" fillId="27" borderId="175" xfId="9" applyNumberFormat="1" applyFont="1" applyFill="1" applyBorder="1" applyAlignment="1" applyProtection="1">
      <alignment horizontal="left" vertical="center" indent="1"/>
    </xf>
    <xf numFmtId="0" fontId="7" fillId="27" borderId="44" xfId="4116" applyFont="1" applyFill="1" applyBorder="1"/>
    <xf numFmtId="0" fontId="62" fillId="27" borderId="44" xfId="4116" applyFont="1" applyFill="1" applyBorder="1"/>
    <xf numFmtId="0" fontId="7" fillId="27" borderId="182" xfId="4116" applyFont="1" applyFill="1" applyBorder="1"/>
    <xf numFmtId="4" fontId="10" fillId="0" borderId="0" xfId="4116" applyNumberFormat="1" applyFont="1" applyAlignment="1">
      <alignment horizontal="center" vertical="center"/>
    </xf>
    <xf numFmtId="0" fontId="7" fillId="27" borderId="0" xfId="4116" applyFont="1" applyFill="1" applyBorder="1"/>
    <xf numFmtId="0" fontId="62" fillId="27" borderId="0" xfId="4116" applyFont="1" applyFill="1" applyBorder="1"/>
    <xf numFmtId="0" fontId="7" fillId="27" borderId="183" xfId="4116" applyFont="1" applyFill="1" applyBorder="1"/>
    <xf numFmtId="0" fontId="29" fillId="10" borderId="19" xfId="4116" applyFont="1" applyFill="1" applyBorder="1" applyAlignment="1">
      <alignment horizontal="center" vertical="center"/>
    </xf>
    <xf numFmtId="0" fontId="29" fillId="10" borderId="19" xfId="4116" applyFont="1" applyFill="1" applyBorder="1" applyAlignment="1">
      <alignment horizontal="center" vertical="center" wrapText="1"/>
    </xf>
    <xf numFmtId="0" fontId="62" fillId="10" borderId="19" xfId="4116" applyFont="1" applyFill="1" applyBorder="1" applyAlignment="1">
      <alignment horizontal="center" vertical="center" wrapText="1"/>
    </xf>
    <xf numFmtId="0" fontId="29" fillId="10" borderId="117" xfId="4116" applyFont="1" applyFill="1" applyBorder="1" applyAlignment="1">
      <alignment horizontal="center" vertical="center" wrapText="1"/>
    </xf>
    <xf numFmtId="4" fontId="100" fillId="27" borderId="184" xfId="4116" applyNumberFormat="1" applyFont="1" applyFill="1" applyBorder="1" applyAlignment="1">
      <alignment horizontal="center" vertical="center"/>
    </xf>
    <xf numFmtId="0" fontId="14" fillId="28" borderId="118" xfId="4116" applyFont="1" applyFill="1" applyBorder="1" applyAlignment="1">
      <alignment vertical="center"/>
    </xf>
    <xf numFmtId="0" fontId="62" fillId="28" borderId="26" xfId="4116" applyFont="1" applyFill="1" applyBorder="1" applyAlignment="1">
      <alignment vertical="center"/>
    </xf>
    <xf numFmtId="4" fontId="100" fillId="27" borderId="185" xfId="4116" applyNumberFormat="1" applyFont="1" applyFill="1" applyBorder="1" applyAlignment="1">
      <alignment horizontal="center" vertical="center"/>
    </xf>
    <xf numFmtId="49" fontId="62" fillId="0" borderId="113" xfId="4116" applyNumberFormat="1" applyFont="1" applyBorder="1" applyAlignment="1">
      <alignment horizontal="center" vertical="center"/>
    </xf>
    <xf numFmtId="0" fontId="27" fillId="0" borderId="114" xfId="4116" applyFont="1" applyBorder="1" applyAlignment="1">
      <alignment horizontal="center" vertical="center"/>
    </xf>
    <xf numFmtId="0" fontId="14" fillId="0" borderId="114" xfId="4116" applyFont="1" applyBorder="1" applyAlignment="1">
      <alignment horizontal="center" vertical="center"/>
    </xf>
    <xf numFmtId="0" fontId="14" fillId="0" borderId="126" xfId="4116" applyFont="1" applyBorder="1" applyAlignment="1">
      <alignment horizontal="center" vertical="center"/>
    </xf>
    <xf numFmtId="0" fontId="14" fillId="0" borderId="113" xfId="4116" applyFont="1" applyBorder="1" applyAlignment="1">
      <alignment horizontal="center" vertical="center"/>
    </xf>
    <xf numFmtId="4" fontId="14" fillId="0" borderId="114" xfId="4116" applyNumberFormat="1" applyFont="1" applyBorder="1" applyAlignment="1">
      <alignment horizontal="center" vertical="center"/>
    </xf>
    <xf numFmtId="4" fontId="14" fillId="0" borderId="115" xfId="4116" applyNumberFormat="1" applyFont="1" applyBorder="1" applyAlignment="1">
      <alignment horizontal="center" vertical="center"/>
    </xf>
    <xf numFmtId="0" fontId="14" fillId="0" borderId="125" xfId="4116" applyFont="1" applyBorder="1" applyAlignment="1">
      <alignment horizontal="center" vertical="center"/>
    </xf>
    <xf numFmtId="4" fontId="62" fillId="0" borderId="114" xfId="4116" applyNumberFormat="1" applyFont="1" applyBorder="1" applyAlignment="1">
      <alignment horizontal="center" vertical="center"/>
    </xf>
    <xf numFmtId="4" fontId="14" fillId="0" borderId="120" xfId="4116" applyNumberFormat="1" applyFont="1" applyBorder="1" applyAlignment="1">
      <alignment horizontal="center" vertical="center"/>
    </xf>
    <xf numFmtId="49" fontId="62" fillId="0" borderId="72" xfId="4116" applyNumberFormat="1" applyFont="1" applyBorder="1" applyAlignment="1">
      <alignment horizontal="center" vertical="center"/>
    </xf>
    <xf numFmtId="0" fontId="27" fillId="0" borderId="1" xfId="4116" applyFont="1" applyBorder="1" applyAlignment="1">
      <alignment horizontal="center" vertical="center"/>
    </xf>
    <xf numFmtId="0" fontId="14" fillId="0" borderId="1" xfId="4116" applyFont="1" applyBorder="1" applyAlignment="1">
      <alignment horizontal="center" vertical="center"/>
    </xf>
    <xf numFmtId="0" fontId="14" fillId="0" borderId="18" xfId="4116" applyFont="1" applyBorder="1" applyAlignment="1">
      <alignment horizontal="center" vertical="center"/>
    </xf>
    <xf numFmtId="0" fontId="14" fillId="0" borderId="72" xfId="4116" applyFont="1" applyBorder="1" applyAlignment="1">
      <alignment horizontal="center" vertical="center"/>
    </xf>
    <xf numFmtId="4" fontId="14" fillId="0" borderId="1" xfId="4116" applyNumberFormat="1" applyFont="1" applyBorder="1" applyAlignment="1">
      <alignment horizontal="center" vertical="center"/>
    </xf>
    <xf numFmtId="0" fontId="14" fillId="0" borderId="13" xfId="4116" applyFont="1" applyBorder="1" applyAlignment="1">
      <alignment horizontal="center" vertical="center"/>
    </xf>
    <xf numFmtId="4" fontId="62" fillId="0" borderId="1" xfId="4116" applyNumberFormat="1" applyFont="1" applyBorder="1" applyAlignment="1">
      <alignment horizontal="center" vertical="center"/>
    </xf>
    <xf numFmtId="4" fontId="62" fillId="0" borderId="1" xfId="4116" applyNumberFormat="1" applyFont="1" applyBorder="1" applyAlignment="1">
      <alignment horizontal="center" vertical="center" wrapText="1"/>
    </xf>
    <xf numFmtId="49" fontId="62" fillId="0" borderId="72" xfId="4116" applyNumberFormat="1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27" fillId="0" borderId="1" xfId="4117" applyFont="1" applyBorder="1" applyAlignment="1">
      <alignment horizontal="center" vertical="center"/>
    </xf>
    <xf numFmtId="4" fontId="14" fillId="0" borderId="120" xfId="4116" applyNumberFormat="1" applyFont="1" applyFill="1" applyBorder="1" applyAlignment="1">
      <alignment horizontal="center" vertical="center"/>
    </xf>
    <xf numFmtId="169" fontId="62" fillId="0" borderId="116" xfId="0" applyNumberFormat="1" applyFont="1" applyFill="1" applyBorder="1" applyAlignment="1">
      <alignment horizontal="center" vertical="center" wrapText="1"/>
    </xf>
    <xf numFmtId="0" fontId="27" fillId="0" borderId="19" xfId="4116" applyFont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4" fontId="62" fillId="0" borderId="19" xfId="0" applyNumberFormat="1" applyFont="1" applyFill="1" applyBorder="1" applyAlignment="1">
      <alignment horizontal="center" vertical="center" wrapText="1"/>
    </xf>
    <xf numFmtId="0" fontId="27" fillId="0" borderId="29" xfId="4116" applyFont="1" applyBorder="1" applyAlignment="1">
      <alignment horizontal="center" vertical="center"/>
    </xf>
    <xf numFmtId="0" fontId="14" fillId="0" borderId="121" xfId="4116" applyFont="1" applyBorder="1" applyAlignment="1">
      <alignment horizontal="center" vertical="center"/>
    </xf>
    <xf numFmtId="4" fontId="14" fillId="0" borderId="29" xfId="4116" applyNumberFormat="1" applyFont="1" applyBorder="1" applyAlignment="1">
      <alignment horizontal="center" vertical="center"/>
    </xf>
    <xf numFmtId="4" fontId="14" fillId="0" borderId="92" xfId="4116" applyNumberFormat="1" applyFont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 wrapText="1"/>
    </xf>
    <xf numFmtId="0" fontId="62" fillId="7" borderId="119" xfId="4116" applyFont="1" applyFill="1" applyBorder="1" applyAlignment="1">
      <alignment vertical="center"/>
    </xf>
    <xf numFmtId="0" fontId="14" fillId="7" borderId="12" xfId="4116" applyFont="1" applyFill="1" applyBorder="1" applyAlignment="1">
      <alignment vertical="center"/>
    </xf>
    <xf numFmtId="0" fontId="62" fillId="7" borderId="12" xfId="4116" applyFont="1" applyFill="1" applyBorder="1" applyAlignment="1">
      <alignment vertical="center"/>
    </xf>
    <xf numFmtId="4" fontId="14" fillId="7" borderId="91" xfId="4116" applyNumberFormat="1" applyFont="1" applyFill="1" applyBorder="1" applyAlignment="1">
      <alignment horizontal="center" vertical="center"/>
    </xf>
    <xf numFmtId="0" fontId="62" fillId="7" borderId="116" xfId="4116" applyFont="1" applyFill="1" applyBorder="1" applyAlignment="1">
      <alignment vertical="center"/>
    </xf>
    <xf numFmtId="0" fontId="14" fillId="7" borderId="19" xfId="4116" applyFont="1" applyFill="1" applyBorder="1" applyAlignment="1">
      <alignment vertical="center"/>
    </xf>
    <xf numFmtId="0" fontId="62" fillId="7" borderId="19" xfId="4116" applyFont="1" applyFill="1" applyBorder="1" applyAlignment="1">
      <alignment vertical="center"/>
    </xf>
    <xf numFmtId="4" fontId="14" fillId="7" borderId="117" xfId="4116" applyNumberFormat="1" applyFont="1" applyFill="1" applyBorder="1" applyAlignment="1">
      <alignment horizontal="center" vertical="center"/>
    </xf>
    <xf numFmtId="4" fontId="100" fillId="27" borderId="33" xfId="4116" applyNumberFormat="1" applyFont="1" applyFill="1" applyBorder="1" applyAlignment="1">
      <alignment horizontal="center" vertical="center"/>
    </xf>
    <xf numFmtId="0" fontId="14" fillId="28" borderId="125" xfId="4116" applyFont="1" applyFill="1" applyBorder="1" applyAlignment="1">
      <alignment horizontal="center" vertical="center"/>
    </xf>
    <xf numFmtId="0" fontId="62" fillId="28" borderId="126" xfId="4116" applyFont="1" applyFill="1" applyBorder="1" applyAlignment="1">
      <alignment horizontal="center" vertical="center"/>
    </xf>
    <xf numFmtId="0" fontId="62" fillId="0" borderId="72" xfId="4116" applyFont="1" applyBorder="1" applyAlignment="1">
      <alignment horizontal="center" vertical="center"/>
    </xf>
    <xf numFmtId="4" fontId="14" fillId="0" borderId="12" xfId="4116" applyNumberFormat="1" applyFont="1" applyBorder="1" applyAlignment="1">
      <alignment horizontal="center" vertical="center"/>
    </xf>
    <xf numFmtId="0" fontId="14" fillId="7" borderId="1" xfId="4116" applyFont="1" applyFill="1" applyBorder="1" applyAlignment="1">
      <alignment horizontal="center" vertical="center"/>
    </xf>
    <xf numFmtId="0" fontId="62" fillId="7" borderId="1" xfId="4116" applyFont="1" applyFill="1" applyBorder="1" applyAlignment="1">
      <alignment horizontal="center" vertical="center" wrapText="1"/>
    </xf>
    <xf numFmtId="4" fontId="14" fillId="0" borderId="91" xfId="4116" applyNumberFormat="1" applyFont="1" applyBorder="1" applyAlignment="1">
      <alignment horizontal="center" vertical="center"/>
    </xf>
    <xf numFmtId="4" fontId="14" fillId="0" borderId="0" xfId="4116" applyNumberFormat="1" applyFont="1" applyBorder="1" applyAlignment="1">
      <alignment horizontal="center"/>
    </xf>
    <xf numFmtId="0" fontId="62" fillId="7" borderId="1" xfId="4116" applyFont="1" applyFill="1" applyBorder="1" applyAlignment="1">
      <alignment horizontal="center" vertical="center"/>
    </xf>
    <xf numFmtId="4" fontId="14" fillId="0" borderId="19" xfId="4116" applyNumberFormat="1" applyFont="1" applyBorder="1" applyAlignment="1">
      <alignment horizontal="center" vertical="center"/>
    </xf>
    <xf numFmtId="0" fontId="62" fillId="0" borderId="121" xfId="4116" applyFont="1" applyBorder="1" applyAlignment="1">
      <alignment horizontal="center" vertical="center"/>
    </xf>
    <xf numFmtId="0" fontId="28" fillId="7" borderId="29" xfId="4116" applyFont="1" applyFill="1" applyBorder="1" applyAlignment="1">
      <alignment horizontal="center" vertical="center"/>
    </xf>
    <xf numFmtId="0" fontId="29" fillId="7" borderId="29" xfId="4116" applyFont="1" applyFill="1" applyBorder="1"/>
    <xf numFmtId="0" fontId="29" fillId="7" borderId="39" xfId="4116" applyFont="1" applyFill="1" applyBorder="1"/>
    <xf numFmtId="4" fontId="100" fillId="6" borderId="33" xfId="4116" applyNumberFormat="1" applyFont="1" applyFill="1" applyBorder="1" applyAlignment="1">
      <alignment horizontal="center" vertical="center"/>
    </xf>
    <xf numFmtId="0" fontId="29" fillId="7" borderId="27" xfId="4116" applyFont="1" applyFill="1" applyBorder="1" applyAlignment="1">
      <alignment horizontal="center" vertical="center"/>
    </xf>
    <xf numFmtId="0" fontId="62" fillId="7" borderId="39" xfId="4116" applyFont="1" applyFill="1" applyBorder="1" applyAlignment="1">
      <alignment horizontal="center" vertical="center"/>
    </xf>
    <xf numFmtId="0" fontId="7" fillId="0" borderId="0" xfId="4116" applyFont="1"/>
    <xf numFmtId="0" fontId="62" fillId="0" borderId="0" xfId="4116" applyFont="1" applyBorder="1"/>
    <xf numFmtId="0" fontId="7" fillId="0" borderId="0" xfId="4116" applyFont="1" applyBorder="1"/>
    <xf numFmtId="0" fontId="62" fillId="0" borderId="0" xfId="4116" applyFont="1"/>
    <xf numFmtId="4" fontId="7" fillId="0" borderId="0" xfId="4116" applyNumberFormat="1" applyFont="1"/>
    <xf numFmtId="0" fontId="114" fillId="0" borderId="0" xfId="4116" applyFont="1"/>
    <xf numFmtId="0" fontId="10" fillId="0" borderId="0" xfId="4116" applyFont="1"/>
    <xf numFmtId="4" fontId="161" fillId="0" borderId="13" xfId="4116" applyNumberFormat="1" applyFont="1" applyBorder="1"/>
    <xf numFmtId="4" fontId="161" fillId="0" borderId="0" xfId="4116" applyNumberFormat="1" applyFont="1"/>
    <xf numFmtId="4" fontId="10" fillId="0" borderId="0" xfId="4116" applyNumberFormat="1" applyFont="1"/>
    <xf numFmtId="0" fontId="29" fillId="67" borderId="0" xfId="4117" applyFont="1" applyFill="1"/>
    <xf numFmtId="0" fontId="29" fillId="0" borderId="0" xfId="4117" applyFont="1"/>
    <xf numFmtId="0" fontId="25" fillId="67" borderId="0" xfId="4117" applyFont="1" applyFill="1"/>
    <xf numFmtId="49" fontId="25" fillId="67" borderId="0" xfId="4117" applyNumberFormat="1" applyFont="1" applyFill="1" applyAlignment="1">
      <alignment horizontal="center"/>
    </xf>
    <xf numFmtId="0" fontId="25" fillId="67" borderId="0" xfId="4117" applyFont="1" applyFill="1" applyAlignment="1">
      <alignment horizontal="center"/>
    </xf>
    <xf numFmtId="0" fontId="25" fillId="0" borderId="0" xfId="4117" applyFont="1"/>
    <xf numFmtId="0" fontId="29" fillId="10" borderId="119" xfId="4117" applyFont="1" applyFill="1" applyBorder="1" applyAlignment="1">
      <alignment horizontal="center" vertical="center"/>
    </xf>
    <xf numFmtId="0" fontId="29" fillId="10" borderId="12" xfId="4117" applyFont="1" applyFill="1" applyBorder="1" applyAlignment="1">
      <alignment horizontal="center" vertical="center" wrapText="1"/>
    </xf>
    <xf numFmtId="49" fontId="35" fillId="27" borderId="72" xfId="26" applyNumberFormat="1" applyFont="1" applyFill="1" applyBorder="1" applyAlignment="1"/>
    <xf numFmtId="0" fontId="35" fillId="27" borderId="18" xfId="26" applyFont="1" applyFill="1" applyBorder="1"/>
    <xf numFmtId="0" fontId="14" fillId="27" borderId="72" xfId="4117" applyFont="1" applyFill="1" applyBorder="1" applyAlignment="1">
      <alignment horizontal="center"/>
    </xf>
    <xf numFmtId="0" fontId="14" fillId="27" borderId="1" xfId="4117" applyFont="1" applyFill="1" applyBorder="1"/>
    <xf numFmtId="49" fontId="14" fillId="27" borderId="120" xfId="4117" applyNumberFormat="1" applyFont="1" applyFill="1" applyBorder="1" applyAlignment="1">
      <alignment horizontal="center"/>
    </xf>
    <xf numFmtId="3" fontId="14" fillId="0" borderId="72" xfId="4117" applyNumberFormat="1" applyFont="1" applyFill="1" applyBorder="1" applyAlignment="1">
      <alignment horizontal="center"/>
    </xf>
    <xf numFmtId="4" fontId="14" fillId="0" borderId="1" xfId="4117" applyNumberFormat="1" applyFont="1" applyFill="1" applyBorder="1"/>
    <xf numFmtId="49" fontId="14" fillId="0" borderId="120" xfId="4117" applyNumberFormat="1" applyFont="1" applyFill="1" applyBorder="1" applyAlignment="1">
      <alignment horizontal="center"/>
    </xf>
    <xf numFmtId="0" fontId="14" fillId="0" borderId="72" xfId="4117" applyFont="1" applyFill="1" applyBorder="1" applyAlignment="1">
      <alignment horizontal="center"/>
    </xf>
    <xf numFmtId="4" fontId="14" fillId="0" borderId="1" xfId="4117" applyNumberFormat="1" applyFont="1" applyBorder="1"/>
    <xf numFmtId="49" fontId="168" fillId="0" borderId="72" xfId="26" applyNumberFormat="1" applyFont="1" applyFill="1" applyBorder="1" applyAlignment="1"/>
    <xf numFmtId="0" fontId="168" fillId="0" borderId="18" xfId="26" applyFont="1" applyFill="1" applyBorder="1" applyAlignment="1">
      <alignment wrapText="1"/>
    </xf>
    <xf numFmtId="0" fontId="35" fillId="27" borderId="18" xfId="26" applyFont="1" applyFill="1" applyBorder="1" applyAlignment="1">
      <alignment wrapText="1"/>
    </xf>
    <xf numFmtId="3" fontId="14" fillId="27" borderId="72" xfId="4117" applyNumberFormat="1" applyFont="1" applyFill="1" applyBorder="1" applyAlignment="1">
      <alignment horizontal="center"/>
    </xf>
    <xf numFmtId="4" fontId="113" fillId="27" borderId="1" xfId="4117" applyNumberFormat="1" applyFont="1" applyFill="1" applyBorder="1" applyAlignment="1">
      <alignment horizontal="center" vertical="center"/>
    </xf>
    <xf numFmtId="4" fontId="14" fillId="27" borderId="1" xfId="4117" applyNumberFormat="1" applyFont="1" applyFill="1" applyBorder="1"/>
    <xf numFmtId="49" fontId="35" fillId="7" borderId="72" xfId="26" applyNumberFormat="1" applyFont="1" applyFill="1" applyBorder="1" applyAlignment="1"/>
    <xf numFmtId="0" fontId="14" fillId="7" borderId="72" xfId="4117" applyFont="1" applyFill="1" applyBorder="1" applyAlignment="1">
      <alignment horizontal="center"/>
    </xf>
    <xf numFmtId="4" fontId="14" fillId="7" borderId="1" xfId="4117" applyNumberFormat="1" applyFont="1" applyFill="1" applyBorder="1"/>
    <xf numFmtId="49" fontId="14" fillId="7" borderId="120" xfId="4117" applyNumberFormat="1" applyFont="1" applyFill="1" applyBorder="1" applyAlignment="1">
      <alignment horizontal="center"/>
    </xf>
    <xf numFmtId="0" fontId="14" fillId="7" borderId="1" xfId="4117" applyFont="1" applyFill="1" applyBorder="1"/>
    <xf numFmtId="0" fontId="163" fillId="7" borderId="72" xfId="4117" applyFont="1" applyFill="1" applyBorder="1"/>
    <xf numFmtId="0" fontId="163" fillId="67" borderId="72" xfId="4117" applyFont="1" applyFill="1" applyBorder="1"/>
    <xf numFmtId="0" fontId="14" fillId="67" borderId="72" xfId="4117" applyFont="1" applyFill="1" applyBorder="1" applyAlignment="1">
      <alignment horizontal="center"/>
    </xf>
    <xf numFmtId="0" fontId="14" fillId="67" borderId="1" xfId="4117" applyFont="1" applyFill="1" applyBorder="1"/>
    <xf numFmtId="4" fontId="14" fillId="67" borderId="1" xfId="4117" applyNumberFormat="1" applyFont="1" applyFill="1" applyBorder="1"/>
    <xf numFmtId="49" fontId="14" fillId="67" borderId="120" xfId="4117" applyNumberFormat="1" applyFont="1" applyFill="1" applyBorder="1" applyAlignment="1">
      <alignment horizontal="center"/>
    </xf>
    <xf numFmtId="0" fontId="28" fillId="0" borderId="72" xfId="4117" applyFont="1" applyFill="1" applyBorder="1"/>
    <xf numFmtId="49" fontId="14" fillId="0" borderId="18" xfId="26" applyNumberFormat="1" applyFont="1" applyFill="1" applyBorder="1" applyAlignment="1">
      <alignment wrapText="1"/>
    </xf>
    <xf numFmtId="4" fontId="14" fillId="0" borderId="19" xfId="4117" applyNumberFormat="1" applyFont="1" applyFill="1" applyBorder="1"/>
    <xf numFmtId="0" fontId="163" fillId="27" borderId="116" xfId="4117" applyFont="1" applyFill="1" applyBorder="1"/>
    <xf numFmtId="49" fontId="35" fillId="27" borderId="17" xfId="26" applyNumberFormat="1" applyFont="1" applyFill="1" applyBorder="1" applyAlignment="1">
      <alignment wrapText="1"/>
    </xf>
    <xf numFmtId="0" fontId="14" fillId="27" borderId="137" xfId="4117" applyFont="1" applyFill="1" applyBorder="1" applyAlignment="1">
      <alignment horizontal="center"/>
    </xf>
    <xf numFmtId="4" fontId="26" fillId="27" borderId="33" xfId="4117" applyNumberFormat="1" applyFont="1" applyFill="1" applyBorder="1"/>
    <xf numFmtId="4" fontId="14" fillId="27" borderId="20" xfId="4117" applyNumberFormat="1" applyFont="1" applyFill="1" applyBorder="1"/>
    <xf numFmtId="49" fontId="14" fillId="27" borderId="117" xfId="4117" applyNumberFormat="1" applyFont="1" applyFill="1" applyBorder="1" applyAlignment="1">
      <alignment horizontal="center"/>
    </xf>
    <xf numFmtId="4" fontId="68" fillId="27" borderId="33" xfId="4117" applyNumberFormat="1" applyFont="1" applyFill="1" applyBorder="1"/>
    <xf numFmtId="0" fontId="14" fillId="0" borderId="113" xfId="4117" applyFont="1" applyFill="1" applyBorder="1" applyAlignment="1">
      <alignment horizontal="center"/>
    </xf>
    <xf numFmtId="4" fontId="14" fillId="0" borderId="114" xfId="4117" applyNumberFormat="1" applyFont="1" applyFill="1" applyBorder="1"/>
    <xf numFmtId="49" fontId="14" fillId="0" borderId="115" xfId="4117" applyNumberFormat="1" applyFont="1" applyFill="1" applyBorder="1" applyAlignment="1">
      <alignment horizontal="center"/>
    </xf>
    <xf numFmtId="0" fontId="14" fillId="0" borderId="116" xfId="4117" applyFont="1" applyFill="1" applyBorder="1" applyAlignment="1">
      <alignment horizontal="center"/>
    </xf>
    <xf numFmtId="49" fontId="14" fillId="0" borderId="117" xfId="4117" applyNumberFormat="1" applyFont="1" applyFill="1" applyBorder="1" applyAlignment="1">
      <alignment horizontal="center"/>
    </xf>
    <xf numFmtId="49" fontId="115" fillId="27" borderId="118" xfId="26" applyNumberFormat="1" applyFont="1" applyFill="1" applyBorder="1" applyAlignment="1">
      <alignment horizontal="center" vertical="center"/>
    </xf>
    <xf numFmtId="49" fontId="115" fillId="27" borderId="132" xfId="26" applyNumberFormat="1" applyFont="1" applyFill="1" applyBorder="1" applyAlignment="1">
      <alignment vertical="center" wrapText="1"/>
    </xf>
    <xf numFmtId="0" fontId="115" fillId="27" borderId="186" xfId="4117" applyFont="1" applyFill="1" applyBorder="1" applyAlignment="1">
      <alignment horizontal="center" vertical="center"/>
    </xf>
    <xf numFmtId="4" fontId="115" fillId="27" borderId="187" xfId="4117" applyNumberFormat="1" applyFont="1" applyFill="1" applyBorder="1" applyAlignment="1">
      <alignment vertical="center"/>
    </xf>
    <xf numFmtId="49" fontId="115" fillId="27" borderId="185" xfId="4117" applyNumberFormat="1" applyFont="1" applyFill="1" applyBorder="1" applyAlignment="1">
      <alignment horizontal="center" vertical="center"/>
    </xf>
    <xf numFmtId="0" fontId="115" fillId="27" borderId="118" xfId="4117" applyFont="1" applyFill="1" applyBorder="1" applyAlignment="1">
      <alignment horizontal="center" vertical="center"/>
    </xf>
    <xf numFmtId="4" fontId="115" fillId="27" borderId="26" xfId="4117" applyNumberFormat="1" applyFont="1" applyFill="1" applyBorder="1" applyAlignment="1">
      <alignment vertical="center"/>
    </xf>
    <xf numFmtId="49" fontId="115" fillId="27" borderId="52" xfId="4117" applyNumberFormat="1" applyFont="1" applyFill="1" applyBorder="1" applyAlignment="1">
      <alignment horizontal="center" vertical="center"/>
    </xf>
    <xf numFmtId="0" fontId="25" fillId="0" borderId="0" xfId="4117" applyFont="1" applyAlignment="1">
      <alignment vertical="center"/>
    </xf>
    <xf numFmtId="0" fontId="14" fillId="0" borderId="113" xfId="4117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 wrapText="1"/>
    </xf>
    <xf numFmtId="3" fontId="14" fillId="0" borderId="125" xfId="0" applyNumberFormat="1" applyFont="1" applyFill="1" applyBorder="1" applyAlignment="1">
      <alignment horizontal="center" vertical="center" wrapText="1"/>
    </xf>
    <xf numFmtId="0" fontId="14" fillId="0" borderId="72" xfId="4117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21" xfId="4117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15" fillId="27" borderId="118" xfId="4117" applyFont="1" applyFill="1" applyBorder="1" applyAlignment="1">
      <alignment horizontal="center" vertical="center" wrapText="1"/>
    </xf>
    <xf numFmtId="49" fontId="115" fillId="27" borderId="132" xfId="26" applyNumberFormat="1" applyFont="1" applyFill="1" applyBorder="1" applyAlignment="1">
      <alignment horizontal="left" vertical="center" wrapText="1"/>
    </xf>
    <xf numFmtId="0" fontId="115" fillId="27" borderId="188" xfId="4117" applyFont="1" applyFill="1" applyBorder="1" applyAlignment="1">
      <alignment horizontal="center" vertical="center"/>
    </xf>
    <xf numFmtId="4" fontId="115" fillId="27" borderId="6" xfId="4117" applyNumberFormat="1" applyFont="1" applyFill="1" applyBorder="1" applyAlignment="1">
      <alignment horizontal="center" vertical="center"/>
    </xf>
    <xf numFmtId="49" fontId="115" fillId="27" borderId="189" xfId="4117" applyNumberFormat="1" applyFont="1" applyFill="1" applyBorder="1" applyAlignment="1">
      <alignment horizontal="center" vertical="center"/>
    </xf>
    <xf numFmtId="3" fontId="115" fillId="27" borderId="118" xfId="4117" applyNumberFormat="1" applyFont="1" applyFill="1" applyBorder="1" applyAlignment="1">
      <alignment horizontal="center" vertical="center"/>
    </xf>
    <xf numFmtId="4" fontId="115" fillId="27" borderId="26" xfId="4117" applyNumberFormat="1" applyFont="1" applyFill="1" applyBorder="1" applyAlignment="1">
      <alignment horizontal="center" vertical="center"/>
    </xf>
    <xf numFmtId="0" fontId="29" fillId="0" borderId="0" xfId="4117" applyFont="1" applyAlignment="1">
      <alignment horizontal="center" vertical="center"/>
    </xf>
    <xf numFmtId="4" fontId="29" fillId="0" borderId="0" xfId="4117" applyNumberFormat="1" applyFont="1" applyAlignment="1">
      <alignment horizontal="center" vertical="center"/>
    </xf>
    <xf numFmtId="4" fontId="14" fillId="0" borderId="115" xfId="0" applyNumberFormat="1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center" vertical="center" wrapText="1"/>
    </xf>
    <xf numFmtId="4" fontId="14" fillId="0" borderId="120" xfId="0" applyNumberFormat="1" applyFont="1" applyFill="1" applyBorder="1" applyAlignment="1">
      <alignment horizontal="center" vertical="center" wrapText="1"/>
    </xf>
    <xf numFmtId="4" fontId="14" fillId="0" borderId="92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5" fillId="27" borderId="133" xfId="26" applyFont="1" applyFill="1" applyBorder="1" applyAlignment="1">
      <alignment horizontal="center" vertical="center" wrapText="1"/>
    </xf>
    <xf numFmtId="0" fontId="115" fillId="27" borderId="134" xfId="0" applyFont="1" applyFill="1" applyBorder="1" applyAlignment="1">
      <alignment vertical="center" wrapText="1"/>
    </xf>
    <xf numFmtId="4" fontId="115" fillId="27" borderId="15" xfId="0" applyNumberFormat="1" applyFont="1" applyFill="1" applyBorder="1" applyAlignment="1">
      <alignment horizontal="center" vertical="center" wrapText="1"/>
    </xf>
    <xf numFmtId="0" fontId="115" fillId="27" borderId="6" xfId="0" applyFont="1" applyFill="1" applyBorder="1" applyAlignment="1">
      <alignment vertical="center" wrapText="1"/>
    </xf>
    <xf numFmtId="0" fontId="115" fillId="27" borderId="189" xfId="0" applyFont="1" applyFill="1" applyBorder="1" applyAlignment="1">
      <alignment horizontal="center" vertical="center" wrapText="1"/>
    </xf>
    <xf numFmtId="0" fontId="115" fillId="27" borderId="135" xfId="0" applyFont="1" applyFill="1" applyBorder="1" applyAlignment="1">
      <alignment horizontal="center" vertical="center" wrapText="1"/>
    </xf>
    <xf numFmtId="4" fontId="115" fillId="27" borderId="77" xfId="0" applyNumberFormat="1" applyFont="1" applyFill="1" applyBorder="1" applyAlignment="1">
      <alignment horizontal="center" vertical="center" wrapText="1"/>
    </xf>
    <xf numFmtId="4" fontId="115" fillId="27" borderId="136" xfId="0" applyNumberFormat="1" applyFont="1" applyFill="1" applyBorder="1" applyAlignment="1">
      <alignment horizontal="center" vertical="center"/>
    </xf>
    <xf numFmtId="3" fontId="115" fillId="27" borderId="82" xfId="0" applyNumberFormat="1" applyFont="1" applyFill="1" applyBorder="1" applyAlignment="1">
      <alignment horizontal="center" vertical="center" wrapText="1"/>
    </xf>
    <xf numFmtId="4" fontId="14" fillId="0" borderId="114" xfId="0" applyNumberFormat="1" applyFont="1" applyFill="1" applyBorder="1" applyAlignment="1">
      <alignment vertical="center" wrapText="1"/>
    </xf>
    <xf numFmtId="0" fontId="14" fillId="0" borderId="123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vertical="center" wrapText="1"/>
    </xf>
    <xf numFmtId="0" fontId="14" fillId="0" borderId="92" xfId="0" applyFont="1" applyFill="1" applyBorder="1" applyAlignment="1">
      <alignment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15" fillId="27" borderId="118" xfId="26" applyFont="1" applyFill="1" applyBorder="1" applyAlignment="1">
      <alignment horizontal="center" vertical="center" wrapText="1"/>
    </xf>
    <xf numFmtId="0" fontId="115" fillId="27" borderId="132" xfId="0" applyFont="1" applyFill="1" applyBorder="1" applyAlignment="1">
      <alignment vertical="center" wrapText="1"/>
    </xf>
    <xf numFmtId="4" fontId="115" fillId="27" borderId="134" xfId="0" applyNumberFormat="1" applyFont="1" applyFill="1" applyBorder="1" applyAlignment="1">
      <alignment horizontal="center" vertical="center" wrapText="1"/>
    </xf>
    <xf numFmtId="0" fontId="115" fillId="27" borderId="77" xfId="0" applyFont="1" applyFill="1" applyBorder="1" applyAlignment="1">
      <alignment vertical="center" wrapText="1"/>
    </xf>
    <xf numFmtId="0" fontId="115" fillId="27" borderId="82" xfId="0" applyFont="1" applyFill="1" applyBorder="1" applyAlignment="1">
      <alignment horizontal="center" vertical="center" wrapText="1"/>
    </xf>
    <xf numFmtId="0" fontId="115" fillId="27" borderId="163" xfId="0" applyFont="1" applyFill="1" applyBorder="1" applyAlignment="1">
      <alignment horizontal="center" vertical="center" wrapText="1"/>
    </xf>
    <xf numFmtId="4" fontId="115" fillId="27" borderId="26" xfId="0" applyNumberFormat="1" applyFont="1" applyFill="1" applyBorder="1" applyAlignment="1">
      <alignment horizontal="center" vertical="center" wrapText="1"/>
    </xf>
    <xf numFmtId="4" fontId="115" fillId="27" borderId="83" xfId="0" applyNumberFormat="1" applyFont="1" applyFill="1" applyBorder="1" applyAlignment="1">
      <alignment horizontal="center" vertical="center"/>
    </xf>
    <xf numFmtId="3" fontId="115" fillId="27" borderId="52" xfId="0" applyNumberFormat="1" applyFont="1" applyFill="1" applyBorder="1" applyAlignment="1">
      <alignment horizontal="center" vertical="center" wrapText="1"/>
    </xf>
    <xf numFmtId="4" fontId="35" fillId="0" borderId="114" xfId="0" applyNumberFormat="1" applyFont="1" applyFill="1" applyBorder="1" applyAlignment="1">
      <alignment vertical="center" wrapText="1"/>
    </xf>
    <xf numFmtId="0" fontId="35" fillId="0" borderId="123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14" fillId="0" borderId="121" xfId="4117" applyFont="1" applyFill="1" applyBorder="1"/>
    <xf numFmtId="4" fontId="35" fillId="0" borderId="29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vertical="center" wrapText="1"/>
    </xf>
    <xf numFmtId="0" fontId="35" fillId="0" borderId="92" xfId="0" applyFont="1" applyFill="1" applyBorder="1" applyAlignment="1">
      <alignment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115" fillId="27" borderId="133" xfId="4117" applyFont="1" applyFill="1" applyBorder="1" applyAlignment="1">
      <alignment horizontal="center" vertical="center"/>
    </xf>
    <xf numFmtId="0" fontId="163" fillId="0" borderId="121" xfId="4117" applyFont="1" applyFill="1" applyBorder="1"/>
    <xf numFmtId="0" fontId="14" fillId="0" borderId="121" xfId="4117" applyFont="1" applyFill="1" applyBorder="1" applyAlignment="1">
      <alignment horizontal="center"/>
    </xf>
    <xf numFmtId="4" fontId="113" fillId="0" borderId="29" xfId="4117" applyNumberFormat="1" applyFont="1" applyFill="1" applyBorder="1" applyAlignment="1">
      <alignment horizontal="center" vertical="center"/>
    </xf>
    <xf numFmtId="4" fontId="14" fillId="0" borderId="29" xfId="4117" applyNumberFormat="1" applyFont="1" applyFill="1" applyBorder="1"/>
    <xf numFmtId="49" fontId="14" fillId="0" borderId="92" xfId="4117" applyNumberFormat="1" applyFont="1" applyFill="1" applyBorder="1" applyAlignment="1">
      <alignment horizontal="center"/>
    </xf>
    <xf numFmtId="4" fontId="102" fillId="27" borderId="29" xfId="4117" applyNumberFormat="1" applyFont="1" applyFill="1" applyBorder="1" applyAlignment="1">
      <alignment horizontal="center" vertical="center"/>
    </xf>
    <xf numFmtId="4" fontId="14" fillId="0" borderId="29" xfId="4117" applyNumberFormat="1" applyFont="1" applyBorder="1"/>
    <xf numFmtId="0" fontId="35" fillId="0" borderId="72" xfId="4117" applyFont="1" applyFill="1" applyBorder="1" applyAlignment="1">
      <alignment wrapText="1"/>
    </xf>
    <xf numFmtId="4" fontId="14" fillId="0" borderId="12" xfId="4117" applyNumberFormat="1" applyFont="1" applyBorder="1"/>
    <xf numFmtId="49" fontId="35" fillId="0" borderId="72" xfId="26" applyNumberFormat="1" applyFont="1" applyFill="1" applyBorder="1" applyAlignment="1">
      <alignment wrapText="1"/>
    </xf>
    <xf numFmtId="4" fontId="113" fillId="6" borderId="1" xfId="4117" applyNumberFormat="1" applyFont="1" applyFill="1" applyBorder="1" applyAlignment="1">
      <alignment horizontal="center" vertical="center"/>
    </xf>
    <xf numFmtId="0" fontId="163" fillId="70" borderId="72" xfId="4117" applyFont="1" applyFill="1" applyBorder="1"/>
    <xf numFmtId="49" fontId="35" fillId="70" borderId="18" xfId="26" applyNumberFormat="1" applyFont="1" applyFill="1" applyBorder="1" applyAlignment="1"/>
    <xf numFmtId="0" fontId="14" fillId="70" borderId="72" xfId="4117" applyFont="1" applyFill="1" applyBorder="1" applyAlignment="1">
      <alignment horizontal="center"/>
    </xf>
    <xf numFmtId="4" fontId="14" fillId="70" borderId="1" xfId="4117" applyNumberFormat="1" applyFont="1" applyFill="1" applyBorder="1"/>
    <xf numFmtId="49" fontId="14" fillId="70" borderId="120" xfId="4117" applyNumberFormat="1" applyFont="1" applyFill="1" applyBorder="1" applyAlignment="1">
      <alignment horizontal="center"/>
    </xf>
    <xf numFmtId="4" fontId="116" fillId="6" borderId="1" xfId="4117" applyNumberFormat="1" applyFont="1" applyFill="1" applyBorder="1"/>
    <xf numFmtId="0" fontId="14" fillId="0" borderId="72" xfId="4117" applyFont="1" applyBorder="1" applyAlignment="1">
      <alignment horizontal="center"/>
    </xf>
    <xf numFmtId="0" fontId="14" fillId="0" borderId="39" xfId="4117" applyFont="1" applyFill="1" applyBorder="1" applyAlignment="1">
      <alignment horizontal="center" vertical="center"/>
    </xf>
    <xf numFmtId="0" fontId="14" fillId="0" borderId="29" xfId="4117" applyFont="1" applyFill="1" applyBorder="1" applyAlignment="1">
      <alignment horizontal="center" vertical="center"/>
    </xf>
    <xf numFmtId="49" fontId="14" fillId="0" borderId="92" xfId="4117" applyNumberFormat="1" applyFont="1" applyFill="1" applyBorder="1" applyAlignment="1">
      <alignment horizontal="center" vertical="center"/>
    </xf>
    <xf numFmtId="0" fontId="14" fillId="0" borderId="0" xfId="4117" applyFont="1" applyFill="1" applyBorder="1" applyAlignment="1">
      <alignment horizontal="center" vertical="center"/>
    </xf>
    <xf numFmtId="0" fontId="14" fillId="0" borderId="0" xfId="4117" applyFont="1" applyFill="1" applyBorder="1" applyAlignment="1">
      <alignment horizontal="center"/>
    </xf>
    <xf numFmtId="0" fontId="14" fillId="0" borderId="0" xfId="4117" applyFont="1" applyFill="1" applyBorder="1" applyAlignment="1">
      <alignment horizontal="center" vertical="center" wrapText="1"/>
    </xf>
    <xf numFmtId="49" fontId="14" fillId="0" borderId="0" xfId="4117" applyNumberFormat="1" applyFont="1" applyFill="1" applyBorder="1" applyAlignment="1">
      <alignment horizontal="center" vertical="center"/>
    </xf>
    <xf numFmtId="4" fontId="14" fillId="0" borderId="0" xfId="4117" applyNumberFormat="1" applyFont="1" applyFill="1" applyBorder="1" applyAlignment="1">
      <alignment horizontal="center" vertical="center"/>
    </xf>
    <xf numFmtId="4" fontId="14" fillId="0" borderId="0" xfId="4117" applyNumberFormat="1" applyFont="1" applyFill="1" applyBorder="1"/>
    <xf numFmtId="0" fontId="26" fillId="31" borderId="1" xfId="4117" applyFont="1" applyFill="1" applyBorder="1" applyAlignment="1">
      <alignment horizontal="center" vertical="center"/>
    </xf>
    <xf numFmtId="0" fontId="26" fillId="31" borderId="1" xfId="4117" applyFont="1" applyFill="1" applyBorder="1" applyAlignment="1">
      <alignment horizontal="center" vertical="center" wrapText="1"/>
    </xf>
    <xf numFmtId="0" fontId="29" fillId="0" borderId="0" xfId="4117" applyFont="1" applyFill="1"/>
    <xf numFmtId="0" fontId="31" fillId="0" borderId="1" xfId="4117" applyFont="1" applyFill="1" applyBorder="1" applyAlignment="1">
      <alignment horizontal="center" vertical="center" wrapText="1"/>
    </xf>
    <xf numFmtId="4" fontId="31" fillId="0" borderId="1" xfId="4117" applyNumberFormat="1" applyFont="1" applyFill="1" applyBorder="1" applyAlignment="1">
      <alignment vertical="center"/>
    </xf>
    <xf numFmtId="49" fontId="100" fillId="0" borderId="0" xfId="4117" applyNumberFormat="1" applyFont="1" applyFill="1" applyAlignment="1">
      <alignment horizontal="center"/>
    </xf>
    <xf numFmtId="4" fontId="29" fillId="0" borderId="0" xfId="4117" applyNumberFormat="1" applyFont="1"/>
    <xf numFmtId="4" fontId="29" fillId="0" borderId="0" xfId="4117" applyNumberFormat="1" applyFont="1" applyFill="1"/>
    <xf numFmtId="49" fontId="29" fillId="0" borderId="0" xfId="4117" applyNumberFormat="1" applyFont="1" applyFill="1" applyAlignment="1">
      <alignment horizontal="center"/>
    </xf>
    <xf numFmtId="0" fontId="29" fillId="0" borderId="0" xfId="4117" applyFont="1" applyAlignment="1">
      <alignment horizontal="center"/>
    </xf>
    <xf numFmtId="4" fontId="25" fillId="0" borderId="1" xfId="4117" applyNumberFormat="1" applyFont="1" applyBorder="1" applyAlignment="1">
      <alignment vertical="center"/>
    </xf>
    <xf numFmtId="4" fontId="25" fillId="0" borderId="1" xfId="4117" applyNumberFormat="1" applyFont="1" applyBorder="1" applyAlignment="1">
      <alignment horizontal="center" vertical="center"/>
    </xf>
    <xf numFmtId="4" fontId="25" fillId="0" borderId="19" xfId="4117" applyNumberFormat="1" applyFont="1" applyBorder="1" applyAlignment="1">
      <alignment horizontal="center" vertical="center"/>
    </xf>
    <xf numFmtId="4" fontId="165" fillId="0" borderId="0" xfId="4117" applyNumberFormat="1" applyFont="1" applyAlignment="1">
      <alignment vertical="center"/>
    </xf>
    <xf numFmtId="49" fontId="7" fillId="26" borderId="1" xfId="0" applyNumberFormat="1" applyFont="1" applyFill="1" applyBorder="1" applyAlignment="1">
      <alignment horizontal="left" vertical="center"/>
    </xf>
    <xf numFmtId="16" fontId="7" fillId="26" borderId="1" xfId="0" applyNumberFormat="1" applyFont="1" applyFill="1" applyBorder="1" applyAlignment="1">
      <alignment horizontal="left" vertical="center" wrapText="1"/>
    </xf>
    <xf numFmtId="0" fontId="12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49" fontId="12" fillId="26" borderId="18" xfId="0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left" vertical="center" wrapText="1"/>
    </xf>
    <xf numFmtId="0" fontId="7" fillId="26" borderId="0" xfId="0" applyFont="1" applyFill="1" applyAlignment="1">
      <alignment horizontal="center" vertical="center"/>
    </xf>
    <xf numFmtId="0" fontId="7" fillId="0" borderId="190" xfId="0" applyFont="1" applyBorder="1" applyAlignment="1">
      <alignment horizontal="center" vertical="center"/>
    </xf>
    <xf numFmtId="0" fontId="7" fillId="0" borderId="190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12" fillId="0" borderId="0" xfId="3589" applyFont="1" applyAlignment="1">
      <alignment horizontal="center" vertical="center"/>
    </xf>
    <xf numFmtId="0" fontId="17" fillId="0" borderId="143" xfId="3589" applyFont="1" applyFill="1" applyBorder="1" applyAlignment="1">
      <alignment horizontal="left" vertical="top" wrapText="1"/>
    </xf>
    <xf numFmtId="0" fontId="17" fillId="0" borderId="157" xfId="3589" applyFont="1" applyFill="1" applyBorder="1" applyAlignment="1">
      <alignment horizontal="left" vertical="top" wrapText="1"/>
    </xf>
    <xf numFmtId="0" fontId="139" fillId="0" borderId="143" xfId="3589" applyFont="1" applyFill="1" applyBorder="1" applyAlignment="1">
      <alignment horizontal="center" vertical="center"/>
    </xf>
    <xf numFmtId="0" fontId="139" fillId="0" borderId="1" xfId="3589" applyFont="1" applyFill="1" applyBorder="1" applyAlignment="1">
      <alignment horizontal="center" vertical="center"/>
    </xf>
    <xf numFmtId="0" fontId="158" fillId="0" borderId="143" xfId="3589" applyFont="1" applyFill="1" applyBorder="1" applyAlignment="1">
      <alignment horizontal="left" vertical="top" wrapText="1"/>
    </xf>
    <xf numFmtId="0" fontId="17" fillId="0" borderId="144" xfId="3589" applyFont="1" applyFill="1" applyBorder="1" applyAlignment="1">
      <alignment horizontal="left" vertical="top" wrapText="1"/>
    </xf>
    <xf numFmtId="0" fontId="139" fillId="0" borderId="144" xfId="3589" applyFont="1" applyFill="1" applyBorder="1" applyAlignment="1">
      <alignment horizontal="center" vertical="center"/>
    </xf>
    <xf numFmtId="0" fontId="17" fillId="0" borderId="0" xfId="3589" applyFont="1" applyFill="1" applyBorder="1" applyAlignment="1">
      <alignment horizontal="left" vertical="top" wrapText="1"/>
    </xf>
    <xf numFmtId="0" fontId="17" fillId="0" borderId="1" xfId="3589" applyFont="1" applyFill="1" applyBorder="1" applyAlignment="1">
      <alignment horizontal="left" vertical="top" wrapText="1"/>
    </xf>
    <xf numFmtId="0" fontId="139" fillId="0" borderId="142" xfId="3589" applyFont="1" applyFill="1" applyBorder="1" applyAlignment="1">
      <alignment horizontal="center" vertical="center"/>
    </xf>
    <xf numFmtId="0" fontId="17" fillId="0" borderId="158" xfId="3589" applyFont="1" applyFill="1" applyBorder="1" applyAlignment="1">
      <alignment horizontal="left" vertical="top" wrapText="1"/>
    </xf>
    <xf numFmtId="0" fontId="17" fillId="0" borderId="18" xfId="3589" applyFont="1" applyFill="1" applyBorder="1" applyAlignment="1">
      <alignment horizontal="left" vertical="top" wrapText="1"/>
    </xf>
    <xf numFmtId="0" fontId="139" fillId="0" borderId="165" xfId="3589" applyFont="1" applyFill="1" applyBorder="1" applyAlignment="1">
      <alignment horizontal="center" vertical="center"/>
    </xf>
    <xf numFmtId="0" fontId="17" fillId="0" borderId="159" xfId="3589" applyFont="1" applyFill="1" applyBorder="1" applyAlignment="1">
      <alignment horizontal="left" vertical="top" wrapText="1"/>
    </xf>
    <xf numFmtId="0" fontId="17" fillId="0" borderId="162" xfId="3589" applyFont="1" applyFill="1" applyBorder="1" applyAlignment="1">
      <alignment horizontal="left" vertical="top" wrapText="1"/>
    </xf>
    <xf numFmtId="0" fontId="17" fillId="0" borderId="153" xfId="3589" applyFont="1" applyFill="1" applyBorder="1" applyAlignment="1">
      <alignment horizontal="left" vertical="top" wrapText="1"/>
    </xf>
    <xf numFmtId="0" fontId="139" fillId="0" borderId="0" xfId="3589" applyFont="1" applyFill="1" applyBorder="1" applyAlignment="1">
      <alignment horizontal="center" vertical="center"/>
    </xf>
    <xf numFmtId="0" fontId="139" fillId="0" borderId="162" xfId="3589" applyFont="1" applyFill="1" applyBorder="1" applyAlignment="1">
      <alignment horizontal="center" vertical="center"/>
    </xf>
    <xf numFmtId="0" fontId="17" fillId="0" borderId="168" xfId="3589" applyFont="1" applyFill="1" applyBorder="1" applyAlignment="1">
      <alignment horizontal="left" vertical="top" wrapText="1"/>
    </xf>
    <xf numFmtId="0" fontId="139" fillId="0" borderId="156" xfId="3589" applyFont="1" applyFill="1" applyBorder="1" applyAlignment="1">
      <alignment horizontal="center" vertical="center"/>
    </xf>
    <xf numFmtId="16" fontId="139" fillId="0" borderId="160" xfId="3589" applyNumberFormat="1" applyFont="1" applyFill="1" applyBorder="1" applyAlignment="1">
      <alignment vertical="center"/>
    </xf>
    <xf numFmtId="16" fontId="139" fillId="0" borderId="154" xfId="3589" applyNumberFormat="1" applyFont="1" applyFill="1" applyBorder="1" applyAlignment="1">
      <alignment vertical="center"/>
    </xf>
    <xf numFmtId="0" fontId="18" fillId="0" borderId="161" xfId="3589" applyFont="1" applyFill="1" applyBorder="1" applyAlignment="1">
      <alignment vertical="center"/>
    </xf>
    <xf numFmtId="0" fontId="18" fillId="0" borderId="142" xfId="3589" applyFont="1" applyFill="1" applyBorder="1" applyAlignment="1">
      <alignment vertical="center"/>
    </xf>
    <xf numFmtId="0" fontId="26" fillId="0" borderId="167" xfId="3589" applyFont="1" applyFill="1" applyBorder="1" applyAlignment="1">
      <alignment vertical="center"/>
    </xf>
    <xf numFmtId="0" fontId="26" fillId="0" borderId="168" xfId="3589" applyFont="1" applyFill="1" applyBorder="1" applyAlignment="1">
      <alignment vertical="center"/>
    </xf>
    <xf numFmtId="0" fontId="26" fillId="0" borderId="168" xfId="3589" applyFont="1" applyFill="1" applyBorder="1" applyAlignment="1">
      <alignment horizontal="left" vertical="center"/>
    </xf>
    <xf numFmtId="0" fontId="139" fillId="0" borderId="168" xfId="3589" applyFont="1" applyFill="1" applyBorder="1" applyAlignment="1">
      <alignment horizontal="left" vertical="center"/>
    </xf>
    <xf numFmtId="0" fontId="26" fillId="0" borderId="166" xfId="3589" applyFont="1" applyFill="1" applyBorder="1" applyAlignment="1">
      <alignment vertical="center"/>
    </xf>
    <xf numFmtId="0" fontId="18" fillId="0" borderId="141" xfId="3589" applyFont="1" applyFill="1" applyBorder="1" applyAlignment="1">
      <alignment vertical="center"/>
    </xf>
    <xf numFmtId="0" fontId="154" fillId="0" borderId="141" xfId="3589" applyFont="1" applyFill="1" applyBorder="1" applyAlignment="1">
      <alignment horizontal="center" vertical="center"/>
    </xf>
    <xf numFmtId="16" fontId="26" fillId="0" borderId="167" xfId="3589" applyNumberFormat="1" applyFont="1" applyFill="1" applyBorder="1" applyAlignment="1">
      <alignment vertical="center"/>
    </xf>
    <xf numFmtId="16" fontId="26" fillId="0" borderId="166" xfId="3589" applyNumberFormat="1" applyFont="1" applyFill="1" applyBorder="1" applyAlignment="1">
      <alignment vertical="center"/>
    </xf>
    <xf numFmtId="0" fontId="166" fillId="0" borderId="143" xfId="3589" applyFont="1" applyFill="1" applyBorder="1" applyAlignment="1">
      <alignment horizontal="left" vertical="top" wrapText="1"/>
    </xf>
    <xf numFmtId="0" fontId="166" fillId="0" borderId="157" xfId="3589" applyFont="1" applyFill="1" applyBorder="1" applyAlignment="1">
      <alignment horizontal="left" vertical="top" wrapText="1"/>
    </xf>
    <xf numFmtId="0" fontId="167" fillId="0" borderId="143" xfId="3589" applyFont="1" applyFill="1" applyBorder="1" applyAlignment="1">
      <alignment horizontal="center" vertical="center"/>
    </xf>
    <xf numFmtId="0" fontId="167" fillId="0" borderId="1" xfId="3589" applyFont="1" applyFill="1" applyBorder="1" applyAlignment="1">
      <alignment horizontal="center" vertical="center"/>
    </xf>
    <xf numFmtId="49" fontId="154" fillId="0" borderId="143" xfId="3589" applyNumberFormat="1" applyFont="1" applyFill="1" applyBorder="1" applyAlignment="1">
      <alignment horizontal="left" vertical="center"/>
    </xf>
    <xf numFmtId="0" fontId="17" fillId="0" borderId="157" xfId="3589" applyFont="1" applyFill="1" applyBorder="1" applyAlignment="1">
      <alignment horizontal="left" vertical="center" wrapText="1"/>
    </xf>
    <xf numFmtId="0" fontId="62" fillId="0" borderId="1" xfId="3589" applyFont="1" applyFill="1" applyBorder="1" applyAlignment="1">
      <alignment horizontal="center" vertical="center"/>
    </xf>
    <xf numFmtId="0" fontId="17" fillId="0" borderId="143" xfId="3589" applyFont="1" applyFill="1" applyBorder="1" applyAlignment="1">
      <alignment horizontal="left" vertical="center" wrapText="1"/>
    </xf>
    <xf numFmtId="49" fontId="157" fillId="0" borderId="1" xfId="3589" applyNumberFormat="1" applyFont="1" applyFill="1" applyBorder="1" applyAlignment="1">
      <alignment horizontal="center" vertical="center"/>
    </xf>
    <xf numFmtId="0" fontId="157" fillId="0" borderId="18" xfId="3589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73" fillId="0" borderId="1" xfId="0" applyFont="1" applyFill="1" applyBorder="1" applyAlignment="1">
      <alignment horizontal="left" vertical="top" wrapText="1"/>
    </xf>
    <xf numFmtId="16" fontId="139" fillId="0" borderId="1" xfId="3589" applyNumberFormat="1" applyFont="1" applyFill="1" applyBorder="1" applyAlignment="1">
      <alignment horizontal="center" vertical="center"/>
    </xf>
    <xf numFmtId="0" fontId="139" fillId="0" borderId="1" xfId="3589" applyFont="1" applyFill="1" applyBorder="1" applyAlignment="1">
      <alignment horizontal="left" vertical="center"/>
    </xf>
    <xf numFmtId="49" fontId="139" fillId="0" borderId="1" xfId="3589" applyNumberFormat="1" applyFont="1" applyFill="1" applyBorder="1" applyAlignment="1">
      <alignment horizontal="center" vertical="center"/>
    </xf>
    <xf numFmtId="0" fontId="139" fillId="0" borderId="1" xfId="3589" applyFont="1" applyFill="1" applyBorder="1" applyAlignment="1">
      <alignment vertical="center"/>
    </xf>
    <xf numFmtId="0" fontId="139" fillId="0" borderId="18" xfId="3589" applyFont="1" applyFill="1" applyBorder="1" applyAlignment="1">
      <alignment horizontal="center" vertical="center"/>
    </xf>
    <xf numFmtId="0" fontId="139" fillId="0" borderId="1" xfId="3589" applyNumberFormat="1" applyFont="1" applyFill="1" applyBorder="1" applyAlignment="1">
      <alignment horizontal="center" vertical="center"/>
    </xf>
    <xf numFmtId="0" fontId="12" fillId="0" borderId="1" xfId="3589" applyFont="1" applyFill="1" applyBorder="1" applyAlignment="1">
      <alignment horizontal="center" vertical="center"/>
    </xf>
    <xf numFmtId="0" fontId="62" fillId="0" borderId="141" xfId="743" applyFont="1" applyFill="1" applyBorder="1" applyAlignment="1">
      <alignment horizontal="right" vertical="center"/>
    </xf>
    <xf numFmtId="0" fontId="30" fillId="0" borderId="152" xfId="0" applyFont="1" applyFill="1" applyBorder="1" applyAlignment="1">
      <alignment horizontal="right" vertical="center"/>
    </xf>
    <xf numFmtId="0" fontId="30" fillId="0" borderId="152" xfId="3589" applyFont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Continuous" vertical="center"/>
    </xf>
    <xf numFmtId="0" fontId="62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0" borderId="141" xfId="3589" applyFont="1" applyBorder="1" applyAlignment="1">
      <alignment horizontal="left" vertical="center"/>
    </xf>
    <xf numFmtId="49" fontId="159" fillId="0" borderId="18" xfId="0" applyNumberFormat="1" applyFont="1" applyFill="1" applyBorder="1" applyAlignment="1">
      <alignment horizontal="left" vertical="center"/>
    </xf>
    <xf numFmtId="16" fontId="159" fillId="0" borderId="1" xfId="0" applyNumberFormat="1" applyFont="1" applyFill="1" applyBorder="1" applyAlignment="1">
      <alignment horizontal="left" vertical="center" wrapText="1"/>
    </xf>
    <xf numFmtId="0" fontId="159" fillId="0" borderId="1" xfId="0" applyFont="1" applyFill="1" applyBorder="1" applyAlignment="1">
      <alignment horizontal="center" vertical="center"/>
    </xf>
    <xf numFmtId="49" fontId="159" fillId="0" borderId="1" xfId="0" applyNumberFormat="1" applyFont="1" applyFill="1" applyBorder="1" applyAlignment="1">
      <alignment horizontal="left" vertical="center"/>
    </xf>
    <xf numFmtId="0" fontId="174" fillId="0" borderId="1" xfId="0" applyFont="1" applyFill="1" applyBorder="1" applyAlignment="1">
      <alignment horizontal="center" vertical="center"/>
    </xf>
    <xf numFmtId="0" fontId="175" fillId="17" borderId="1" xfId="0" applyFont="1" applyFill="1" applyBorder="1" applyAlignment="1">
      <alignment horizontal="center" vertical="center" wrapText="1"/>
    </xf>
    <xf numFmtId="0" fontId="176" fillId="17" borderId="1" xfId="0" applyFont="1" applyFill="1" applyBorder="1" applyAlignment="1">
      <alignment horizontal="center" vertical="center" wrapText="1"/>
    </xf>
    <xf numFmtId="0" fontId="70" fillId="26" borderId="143" xfId="3589" applyFont="1" applyFill="1" applyBorder="1" applyAlignment="1">
      <alignment horizontal="center" vertical="center"/>
    </xf>
    <xf numFmtId="0" fontId="62" fillId="26" borderId="87" xfId="16" applyFont="1" applyFill="1" applyBorder="1" applyAlignment="1">
      <alignment horizontal="center" vertical="center"/>
    </xf>
    <xf numFmtId="0" fontId="96" fillId="26" borderId="13" xfId="0" quotePrefix="1" applyFont="1" applyFill="1" applyBorder="1" applyAlignment="1">
      <alignment horizontal="center" vertical="center"/>
    </xf>
    <xf numFmtId="0" fontId="14" fillId="26" borderId="70" xfId="0" applyFont="1" applyFill="1" applyBorder="1" applyAlignment="1">
      <alignment horizontal="center" vertical="center"/>
    </xf>
    <xf numFmtId="0" fontId="14" fillId="26" borderId="1" xfId="0" applyFont="1" applyFill="1" applyBorder="1" applyAlignment="1">
      <alignment horizontal="center" vertical="center"/>
    </xf>
    <xf numFmtId="0" fontId="62" fillId="26" borderId="85" xfId="0" applyFont="1" applyFill="1" applyBorder="1" applyAlignment="1">
      <alignment horizontal="center" vertical="center"/>
    </xf>
    <xf numFmtId="0" fontId="26" fillId="61" borderId="141" xfId="743" applyFont="1" applyFill="1" applyBorder="1" applyAlignment="1">
      <alignment horizontal="center" vertical="center"/>
    </xf>
    <xf numFmtId="0" fontId="26" fillId="26" borderId="1" xfId="0" quotePrefix="1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right" vertical="center"/>
    </xf>
    <xf numFmtId="0" fontId="26" fillId="0" borderId="141" xfId="743" applyFont="1" applyFill="1" applyBorder="1" applyAlignment="1">
      <alignment horizontal="right" vertical="center"/>
    </xf>
    <xf numFmtId="0" fontId="26" fillId="26" borderId="1" xfId="0" applyFont="1" applyFill="1" applyBorder="1" applyAlignment="1">
      <alignment horizontal="right" vertical="center"/>
    </xf>
    <xf numFmtId="0" fontId="26" fillId="26" borderId="141" xfId="743" applyFont="1" applyFill="1" applyBorder="1" applyAlignment="1">
      <alignment horizontal="right" vertical="center"/>
    </xf>
    <xf numFmtId="0" fontId="26" fillId="0" borderId="87" xfId="16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wrapText="1"/>
    </xf>
    <xf numFmtId="0" fontId="10" fillId="11" borderId="70" xfId="0" applyFont="1" applyFill="1" applyBorder="1" applyAlignment="1">
      <alignment horizontal="left" vertical="top" wrapText="1"/>
    </xf>
    <xf numFmtId="3" fontId="10" fillId="0" borderId="0" xfId="14" applyNumberFormat="1" applyFont="1" applyFill="1" applyBorder="1" applyAlignment="1">
      <alignment wrapText="1"/>
    </xf>
    <xf numFmtId="3" fontId="10" fillId="0" borderId="20" xfId="0" applyNumberFormat="1" applyFont="1" applyFill="1" applyBorder="1" applyAlignment="1">
      <alignment wrapText="1"/>
    </xf>
    <xf numFmtId="0" fontId="10" fillId="0" borderId="79" xfId="0" applyFont="1" applyFill="1" applyBorder="1" applyAlignment="1">
      <alignment horizontal="left" vertical="center" wrapText="1"/>
    </xf>
    <xf numFmtId="49" fontId="10" fillId="0" borderId="78" xfId="0" applyNumberFormat="1" applyFont="1" applyFill="1" applyBorder="1" applyAlignment="1">
      <alignment vertical="center" wrapText="1"/>
    </xf>
    <xf numFmtId="49" fontId="10" fillId="0" borderId="70" xfId="0" applyNumberFormat="1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wrapText="1"/>
    </xf>
    <xf numFmtId="3" fontId="10" fillId="0" borderId="78" xfId="14" applyNumberFormat="1" applyFont="1" applyFill="1" applyBorder="1" applyAlignment="1">
      <alignment wrapText="1"/>
    </xf>
    <xf numFmtId="49" fontId="84" fillId="0" borderId="0" xfId="0" applyNumberFormat="1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7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4" fillId="0" borderId="0" xfId="0" applyFont="1" applyBorder="1" applyAlignment="1">
      <alignment horizontal="left" vertical="top" wrapText="1"/>
    </xf>
    <xf numFmtId="0" fontId="10" fillId="0" borderId="79" xfId="0" applyFont="1" applyFill="1" applyBorder="1" applyAlignment="1">
      <alignment horizontal="left" wrapText="1"/>
    </xf>
    <xf numFmtId="0" fontId="10" fillId="26" borderId="13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top" wrapText="1"/>
    </xf>
    <xf numFmtId="49" fontId="10" fillId="0" borderId="32" xfId="0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wrapText="1"/>
    </xf>
    <xf numFmtId="0" fontId="10" fillId="0" borderId="70" xfId="0" applyFont="1" applyFill="1" applyBorder="1" applyAlignment="1">
      <alignment vertical="center" wrapText="1"/>
    </xf>
    <xf numFmtId="0" fontId="10" fillId="26" borderId="79" xfId="0" applyFont="1" applyFill="1" applyBorder="1" applyAlignment="1">
      <alignment horizontal="left" vertical="center" wrapText="1"/>
    </xf>
    <xf numFmtId="0" fontId="10" fillId="2" borderId="79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wrapText="1"/>
    </xf>
    <xf numFmtId="0" fontId="10" fillId="26" borderId="79" xfId="0" applyFont="1" applyFill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wrapText="1"/>
    </xf>
    <xf numFmtId="0" fontId="10" fillId="2" borderId="20" xfId="0" applyFont="1" applyFill="1" applyBorder="1" applyAlignment="1">
      <alignment horizontal="left" vertical="center" wrapText="1"/>
    </xf>
    <xf numFmtId="49" fontId="84" fillId="0" borderId="79" xfId="0" applyNumberFormat="1" applyFont="1" applyBorder="1" applyAlignment="1">
      <alignment horizontal="left" vertical="center" wrapText="1"/>
    </xf>
    <xf numFmtId="3" fontId="10" fillId="0" borderId="13" xfId="14" applyNumberFormat="1" applyFont="1" applyBorder="1"/>
    <xf numFmtId="0" fontId="10" fillId="11" borderId="13" xfId="0" applyFont="1" applyFill="1" applyBorder="1" applyAlignment="1">
      <alignment horizontal="left" vertical="center" wrapText="1"/>
    </xf>
    <xf numFmtId="0" fontId="10" fillId="0" borderId="79" xfId="0" applyFont="1" applyBorder="1" applyAlignment="1">
      <alignment wrapText="1"/>
    </xf>
    <xf numFmtId="49" fontId="10" fillId="0" borderId="0" xfId="0" applyNumberFormat="1" applyFont="1" applyBorder="1"/>
    <xf numFmtId="0" fontId="10" fillId="11" borderId="25" xfId="0" applyFont="1" applyFill="1" applyBorder="1" applyAlignment="1" applyProtection="1">
      <alignment vertical="top" wrapText="1" readingOrder="1"/>
      <protection locked="0"/>
    </xf>
    <xf numFmtId="0" fontId="10" fillId="0" borderId="78" xfId="0" applyFont="1" applyFill="1" applyBorder="1" applyAlignment="1">
      <alignment horizontal="left" vertical="center" wrapText="1"/>
    </xf>
    <xf numFmtId="49" fontId="10" fillId="0" borderId="80" xfId="0" applyNumberFormat="1" applyFont="1" applyFill="1" applyBorder="1" applyAlignment="1">
      <alignment horizontal="left" vertical="center" wrapText="1"/>
    </xf>
    <xf numFmtId="0" fontId="10" fillId="11" borderId="79" xfId="0" applyFont="1" applyFill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top" wrapText="1"/>
    </xf>
    <xf numFmtId="49" fontId="10" fillId="0" borderId="0" xfId="0" applyNumberFormat="1" applyFont="1" applyFill="1" applyBorder="1"/>
    <xf numFmtId="49" fontId="10" fillId="0" borderId="13" xfId="0" applyNumberFormat="1" applyFont="1" applyFill="1" applyBorder="1"/>
    <xf numFmtId="3" fontId="10" fillId="0" borderId="20" xfId="14" applyNumberFormat="1" applyFont="1" applyBorder="1" applyAlignment="1">
      <alignment wrapText="1"/>
    </xf>
    <xf numFmtId="49" fontId="84" fillId="0" borderId="20" xfId="0" applyNumberFormat="1" applyFont="1" applyBorder="1" applyAlignment="1">
      <alignment horizontal="left" vertical="center" wrapText="1"/>
    </xf>
    <xf numFmtId="0" fontId="10" fillId="2" borderId="84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3" fontId="10" fillId="0" borderId="13" xfId="14" applyNumberFormat="1" applyFont="1" applyBorder="1" applyAlignment="1">
      <alignment wrapText="1"/>
    </xf>
    <xf numFmtId="49" fontId="10" fillId="0" borderId="148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/>
    <xf numFmtId="49" fontId="10" fillId="2" borderId="25" xfId="0" applyNumberFormat="1" applyFont="1" applyFill="1" applyBorder="1" applyAlignment="1">
      <alignment vertical="center" wrapText="1"/>
    </xf>
    <xf numFmtId="0" fontId="10" fillId="11" borderId="79" xfId="0" applyFont="1" applyFill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69" xfId="0" applyFont="1" applyBorder="1" applyAlignment="1">
      <alignment wrapText="1"/>
    </xf>
    <xf numFmtId="0" fontId="10" fillId="0" borderId="79" xfId="0" applyFont="1" applyFill="1" applyBorder="1" applyAlignment="1">
      <alignment vertical="center" wrapText="1"/>
    </xf>
    <xf numFmtId="49" fontId="10" fillId="0" borderId="32" xfId="0" applyNumberFormat="1" applyFont="1" applyFill="1" applyBorder="1" applyAlignment="1">
      <alignment wrapText="1"/>
    </xf>
    <xf numFmtId="0" fontId="10" fillId="0" borderId="80" xfId="0" applyFont="1" applyBorder="1" applyAlignment="1">
      <alignment horizontal="left" vertical="top" wrapText="1"/>
    </xf>
    <xf numFmtId="49" fontId="10" fillId="0" borderId="69" xfId="0" applyNumberFormat="1" applyFont="1" applyFill="1" applyBorder="1" applyAlignment="1">
      <alignment wrapText="1"/>
    </xf>
    <xf numFmtId="0" fontId="10" fillId="0" borderId="1" xfId="3589" applyFont="1" applyFill="1" applyBorder="1" applyAlignment="1">
      <alignment horizontal="left" vertical="top" wrapText="1"/>
    </xf>
    <xf numFmtId="0" fontId="10" fillId="0" borderId="25" xfId="3589" applyFont="1" applyFill="1" applyBorder="1" applyAlignment="1">
      <alignment horizontal="left" vertical="top" wrapText="1"/>
    </xf>
    <xf numFmtId="0" fontId="10" fillId="0" borderId="0" xfId="3589" applyFont="1" applyFill="1" applyBorder="1" applyAlignment="1">
      <alignment horizontal="left" vertical="top" wrapText="1"/>
    </xf>
    <xf numFmtId="0" fontId="10" fillId="0" borderId="13" xfId="3589" applyFont="1" applyFill="1" applyBorder="1" applyAlignment="1">
      <alignment horizontal="left" vertical="top" wrapText="1"/>
    </xf>
    <xf numFmtId="0" fontId="10" fillId="62" borderId="25" xfId="4115" applyFont="1" applyFill="1" applyBorder="1" applyAlignment="1">
      <alignment horizontal="left" vertical="top" wrapText="1"/>
    </xf>
    <xf numFmtId="0" fontId="10" fillId="0" borderId="81" xfId="3589" applyFont="1" applyFill="1" applyBorder="1" applyAlignment="1">
      <alignment horizontal="left" vertical="top" wrapText="1"/>
    </xf>
    <xf numFmtId="0" fontId="10" fillId="0" borderId="32" xfId="3589" applyFont="1" applyFill="1" applyBorder="1" applyAlignment="1">
      <alignment horizontal="left" vertical="top" wrapText="1"/>
    </xf>
    <xf numFmtId="0" fontId="10" fillId="0" borderId="18" xfId="3589" applyFont="1" applyFill="1" applyBorder="1" applyAlignment="1">
      <alignment horizontal="left" vertical="top" wrapText="1"/>
    </xf>
    <xf numFmtId="0" fontId="10" fillId="0" borderId="12" xfId="3589" applyFont="1" applyFill="1" applyBorder="1" applyAlignment="1">
      <alignment horizontal="left" vertical="top" wrapText="1"/>
    </xf>
    <xf numFmtId="0" fontId="10" fillId="0" borderId="143" xfId="3589" applyFont="1" applyFill="1" applyBorder="1" applyAlignment="1">
      <alignment horizontal="left" vertical="top" wrapText="1"/>
    </xf>
    <xf numFmtId="0" fontId="10" fillId="0" borderId="157" xfId="3589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16" fontId="10" fillId="0" borderId="78" xfId="0" applyNumberFormat="1" applyFont="1" applyFill="1" applyBorder="1" applyAlignment="1">
      <alignment horizontal="left" vertical="center" wrapText="1"/>
    </xf>
    <xf numFmtId="16" fontId="10" fillId="0" borderId="20" xfId="0" applyNumberFormat="1" applyFont="1" applyFill="1" applyBorder="1" applyAlignment="1">
      <alignment horizontal="left" vertical="center" wrapText="1"/>
    </xf>
    <xf numFmtId="16" fontId="10" fillId="0" borderId="25" xfId="0" applyNumberFormat="1" applyFont="1" applyFill="1" applyBorder="1" applyAlignment="1">
      <alignment horizontal="left" vertical="center" wrapText="1"/>
    </xf>
    <xf numFmtId="49" fontId="178" fillId="0" borderId="1" xfId="0" applyNumberFormat="1" applyFont="1" applyFill="1" applyBorder="1" applyAlignment="1">
      <alignment horizontal="left" vertical="center"/>
    </xf>
    <xf numFmtId="16" fontId="178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0" fontId="178" fillId="0" borderId="1" xfId="0" applyFont="1" applyFill="1" applyBorder="1" applyAlignment="1" applyProtection="1">
      <alignment vertical="top" wrapText="1" readingOrder="1"/>
      <protection locked="0"/>
    </xf>
    <xf numFmtId="0" fontId="178" fillId="0" borderId="25" xfId="0" applyFont="1" applyFill="1" applyBorder="1" applyAlignment="1" applyProtection="1">
      <alignment vertical="top" wrapText="1" readingOrder="1"/>
      <protection locked="0"/>
    </xf>
    <xf numFmtId="0" fontId="10" fillId="0" borderId="81" xfId="0" applyFont="1" applyFill="1" applyBorder="1" applyAlignment="1">
      <alignment horizontal="left" vertical="center" wrapText="1"/>
    </xf>
    <xf numFmtId="16" fontId="10" fillId="0" borderId="1" xfId="0" applyNumberFormat="1" applyFont="1" applyFill="1" applyBorder="1" applyAlignment="1">
      <alignment horizontal="left" vertical="center" wrapText="1"/>
    </xf>
    <xf numFmtId="16" fontId="10" fillId="0" borderId="79" xfId="0" applyNumberFormat="1" applyFont="1" applyFill="1" applyBorder="1" applyAlignment="1">
      <alignment horizontal="left" vertical="center" wrapText="1"/>
    </xf>
    <xf numFmtId="49" fontId="10" fillId="26" borderId="1" xfId="0" applyNumberFormat="1" applyFont="1" applyFill="1" applyBorder="1" applyAlignment="1">
      <alignment horizontal="left" vertical="center"/>
    </xf>
    <xf numFmtId="16" fontId="10" fillId="26" borderId="79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/>
    </xf>
    <xf numFmtId="16" fontId="10" fillId="0" borderId="1" xfId="0" applyNumberFormat="1" applyFont="1" applyFill="1" applyBorder="1" applyAlignment="1">
      <alignment horizontal="left" vertical="center"/>
    </xf>
    <xf numFmtId="16" fontId="178" fillId="0" borderId="1" xfId="0" applyNumberFormat="1" applyFont="1" applyFill="1" applyBorder="1" applyAlignment="1">
      <alignment horizontal="left" vertical="center" wrapText="1"/>
    </xf>
    <xf numFmtId="0" fontId="178" fillId="0" borderId="1" xfId="0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/>
    </xf>
    <xf numFmtId="0" fontId="10" fillId="0" borderId="35" xfId="0" applyNumberFormat="1" applyFont="1" applyBorder="1" applyAlignment="1">
      <alignment horizontal="left" vertical="center"/>
    </xf>
    <xf numFmtId="0" fontId="10" fillId="0" borderId="4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3589" applyFont="1" applyFill="1" applyBorder="1" applyAlignment="1">
      <alignment horizontal="left" vertical="center" wrapText="1"/>
    </xf>
    <xf numFmtId="0" fontId="177" fillId="0" borderId="1" xfId="3589" applyFont="1" applyFill="1" applyBorder="1" applyAlignment="1">
      <alignment horizontal="left" vertical="center" wrapText="1"/>
    </xf>
    <xf numFmtId="0" fontId="10" fillId="0" borderId="6" xfId="3589" applyFont="1" applyFill="1" applyBorder="1" applyAlignment="1">
      <alignment horizontal="left" vertical="center" wrapText="1"/>
    </xf>
    <xf numFmtId="3" fontId="10" fillId="0" borderId="6" xfId="14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1" xfId="14" applyNumberFormat="1" applyFont="1" applyFill="1" applyBorder="1" applyAlignment="1">
      <alignment horizontal="left" vertical="center"/>
    </xf>
    <xf numFmtId="168" fontId="10" fillId="0" borderId="1" xfId="14" applyNumberFormat="1" applyFont="1" applyFill="1" applyBorder="1" applyAlignment="1">
      <alignment horizontal="left" vertical="center"/>
    </xf>
    <xf numFmtId="3" fontId="10" fillId="0" borderId="1" xfId="14" applyNumberFormat="1" applyFont="1" applyFill="1" applyBorder="1" applyAlignment="1">
      <alignment horizontal="left" vertical="center"/>
    </xf>
    <xf numFmtId="3" fontId="10" fillId="0" borderId="1" xfId="14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62" borderId="1" xfId="4115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3" fontId="10" fillId="0" borderId="1" xfId="14" applyNumberFormat="1" applyFont="1" applyFill="1" applyBorder="1" applyAlignment="1">
      <alignment horizontal="left" vertical="center" wrapText="1"/>
    </xf>
    <xf numFmtId="1" fontId="10" fillId="0" borderId="1" xfId="14" applyNumberFormat="1" applyFont="1" applyFill="1" applyBorder="1" applyAlignment="1">
      <alignment horizontal="left" vertical="center"/>
    </xf>
    <xf numFmtId="0" fontId="10" fillId="0" borderId="69" xfId="0" applyFont="1" applyBorder="1" applyAlignment="1">
      <alignment horizontal="left" vertical="center" wrapText="1"/>
    </xf>
    <xf numFmtId="0" fontId="173" fillId="0" borderId="1" xfId="0" applyFont="1" applyFill="1" applyBorder="1" applyAlignment="1">
      <alignment horizontal="left" vertical="center" wrapText="1"/>
    </xf>
    <xf numFmtId="0" fontId="10" fillId="0" borderId="18" xfId="3589" applyFont="1" applyFill="1" applyBorder="1" applyAlignment="1">
      <alignment horizontal="left" vertical="center" wrapText="1"/>
    </xf>
    <xf numFmtId="0" fontId="10" fillId="0" borderId="12" xfId="3589" applyFont="1" applyFill="1" applyBorder="1" applyAlignment="1">
      <alignment horizontal="left" vertical="center" wrapText="1"/>
    </xf>
    <xf numFmtId="0" fontId="10" fillId="0" borderId="0" xfId="3589" applyFont="1" applyFill="1" applyBorder="1" applyAlignment="1">
      <alignment horizontal="left" vertical="center" wrapText="1"/>
    </xf>
    <xf numFmtId="0" fontId="10" fillId="0" borderId="143" xfId="3589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0" borderId="141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0" fontId="178" fillId="0" borderId="1" xfId="0" applyFont="1" applyFill="1" applyBorder="1" applyAlignment="1" applyProtection="1">
      <alignment horizontal="left" vertical="center" wrapText="1"/>
      <protection locked="0"/>
    </xf>
    <xf numFmtId="0" fontId="10" fillId="26" borderId="1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66" fontId="8" fillId="0" borderId="0" xfId="9" applyNumberFormat="1" applyFont="1" applyBorder="1" applyAlignment="1" applyProtection="1">
      <alignment horizontal="center" vertical="center" wrapText="1"/>
    </xf>
    <xf numFmtId="0" fontId="16" fillId="2" borderId="0" xfId="3" applyFont="1" applyFill="1" applyAlignment="1">
      <alignment horizontal="left"/>
    </xf>
    <xf numFmtId="0" fontId="8" fillId="2" borderId="0" xfId="3" applyFont="1" applyFill="1" applyAlignment="1">
      <alignment horizontal="left"/>
    </xf>
    <xf numFmtId="0" fontId="24" fillId="2" borderId="0" xfId="3" applyFont="1" applyFill="1" applyAlignment="1">
      <alignment horizontal="center"/>
    </xf>
    <xf numFmtId="0" fontId="29" fillId="0" borderId="1" xfId="0" applyFont="1" applyFill="1" applyBorder="1" applyAlignment="1" applyProtection="1">
      <alignment horizontal="center" vertical="center" textRotation="90" wrapText="1"/>
    </xf>
    <xf numFmtId="0" fontId="29" fillId="0" borderId="1" xfId="0" applyFont="1" applyFill="1" applyBorder="1" applyAlignment="1" applyProtection="1">
      <alignment horizontal="center" vertical="center" wrapText="1"/>
    </xf>
    <xf numFmtId="3" fontId="29" fillId="0" borderId="1" xfId="0" applyNumberFormat="1" applyFont="1" applyFill="1" applyBorder="1" applyAlignment="1" applyProtection="1">
      <alignment horizontal="center" vertical="center" textRotation="90" wrapText="1"/>
    </xf>
    <xf numFmtId="3" fontId="29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2" borderId="1" xfId="3" applyFont="1" applyFill="1" applyBorder="1" applyAlignment="1" applyProtection="1">
      <alignment horizontal="center" vertical="center" wrapText="1"/>
    </xf>
    <xf numFmtId="0" fontId="27" fillId="0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textRotation="90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27" fillId="0" borderId="1" xfId="3" applyFont="1" applyBorder="1" applyAlignment="1" applyProtection="1">
      <alignment horizontal="center" vertical="center" wrapText="1"/>
    </xf>
    <xf numFmtId="0" fontId="27" fillId="2" borderId="1" xfId="2055" applyFont="1" applyFill="1" applyBorder="1" applyAlignment="1" applyProtection="1">
      <alignment horizontal="center" vertical="center" wrapText="1"/>
    </xf>
    <xf numFmtId="0" fontId="50" fillId="0" borderId="68" xfId="10" applyFill="1" applyBorder="1" applyAlignment="1">
      <alignment wrapText="1"/>
    </xf>
    <xf numFmtId="0" fontId="0" fillId="0" borderId="68" xfId="0" applyBorder="1" applyAlignment="1"/>
    <xf numFmtId="0" fontId="27" fillId="0" borderId="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77" xfId="0" applyFont="1" applyBorder="1" applyAlignment="1">
      <alignment horizontal="center" vertical="center" wrapText="1"/>
    </xf>
    <xf numFmtId="0" fontId="73" fillId="16" borderId="153" xfId="0" applyFont="1" applyFill="1" applyBorder="1" applyAlignment="1">
      <alignment horizontal="left" vertical="center" wrapText="1"/>
    </xf>
    <xf numFmtId="0" fontId="73" fillId="16" borderId="148" xfId="0" applyFont="1" applyFill="1" applyBorder="1" applyAlignment="1">
      <alignment horizontal="left" vertical="center" wrapText="1"/>
    </xf>
    <xf numFmtId="0" fontId="7" fillId="0" borderId="0" xfId="16" applyFont="1" applyFill="1" applyBorder="1" applyAlignment="1">
      <alignment horizontal="left" vertical="center" wrapText="1"/>
    </xf>
    <xf numFmtId="0" fontId="0" fillId="0" borderId="100" xfId="16" applyFont="1" applyBorder="1" applyAlignment="1">
      <alignment horizontal="center" vertical="center" wrapText="1"/>
    </xf>
    <xf numFmtId="0" fontId="0" fillId="0" borderId="87" xfId="16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9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71" fillId="0" borderId="0" xfId="3589" applyFont="1" applyBorder="1" applyAlignment="1">
      <alignment horizontal="left" vertical="center" wrapText="1"/>
    </xf>
    <xf numFmtId="0" fontId="139" fillId="0" borderId="2" xfId="3589" applyFont="1" applyBorder="1" applyAlignment="1">
      <alignment horizontal="center" vertical="center" wrapText="1"/>
    </xf>
    <xf numFmtId="0" fontId="139" fillId="0" borderId="141" xfId="3589" applyFont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49" fontId="39" fillId="6" borderId="18" xfId="0" applyNumberFormat="1" applyFont="1" applyFill="1" applyBorder="1" applyAlignment="1">
      <alignment horizontal="left" vertical="center" wrapText="1"/>
    </xf>
    <xf numFmtId="49" fontId="39" fillId="6" borderId="25" xfId="0" applyNumberFormat="1" applyFont="1" applyFill="1" applyBorder="1" applyAlignment="1">
      <alignment horizontal="left" vertical="center" wrapText="1"/>
    </xf>
    <xf numFmtId="49" fontId="39" fillId="6" borderId="13" xfId="0" applyNumberFormat="1" applyFont="1" applyFill="1" applyBorder="1" applyAlignment="1">
      <alignment horizontal="left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0" fillId="0" borderId="0" xfId="4116" applyFont="1" applyAlignment="1">
      <alignment horizontal="right"/>
    </xf>
    <xf numFmtId="0" fontId="14" fillId="0" borderId="18" xfId="4116" applyFont="1" applyBorder="1" applyAlignment="1">
      <alignment horizontal="left"/>
    </xf>
    <xf numFmtId="0" fontId="14" fillId="0" borderId="25" xfId="4116" applyFont="1" applyBorder="1" applyAlignment="1">
      <alignment horizontal="left"/>
    </xf>
    <xf numFmtId="0" fontId="14" fillId="0" borderId="13" xfId="4116" applyFont="1" applyBorder="1" applyAlignment="1">
      <alignment horizontal="left"/>
    </xf>
    <xf numFmtId="0" fontId="14" fillId="0" borderId="18" xfId="4116" applyFont="1" applyBorder="1" applyAlignment="1">
      <alignment horizontal="left" wrapText="1"/>
    </xf>
    <xf numFmtId="0" fontId="14" fillId="0" borderId="25" xfId="4116" applyFont="1" applyBorder="1" applyAlignment="1">
      <alignment horizontal="left" wrapText="1"/>
    </xf>
    <xf numFmtId="0" fontId="14" fillId="0" borderId="13" xfId="4116" applyFont="1" applyBorder="1" applyAlignment="1">
      <alignment horizontal="left" wrapText="1"/>
    </xf>
    <xf numFmtId="0" fontId="160" fillId="0" borderId="18" xfId="4116" applyFont="1" applyBorder="1" applyAlignment="1">
      <alignment horizontal="right" vertical="center"/>
    </xf>
    <xf numFmtId="0" fontId="160" fillId="0" borderId="25" xfId="4116" applyFont="1" applyBorder="1" applyAlignment="1">
      <alignment horizontal="right" vertical="center"/>
    </xf>
    <xf numFmtId="0" fontId="14" fillId="10" borderId="114" xfId="4116" applyFont="1" applyFill="1" applyBorder="1" applyAlignment="1">
      <alignment horizontal="center" vertical="center"/>
    </xf>
    <xf numFmtId="0" fontId="14" fillId="10" borderId="115" xfId="4116" applyFont="1" applyFill="1" applyBorder="1" applyAlignment="1">
      <alignment horizontal="center" vertical="center"/>
    </xf>
    <xf numFmtId="0" fontId="99" fillId="27" borderId="163" xfId="4116" applyFont="1" applyFill="1" applyBorder="1" applyAlignment="1">
      <alignment horizontal="right" vertical="center"/>
    </xf>
    <xf numFmtId="0" fontId="99" fillId="27" borderId="83" xfId="4116" applyFont="1" applyFill="1" applyBorder="1" applyAlignment="1">
      <alignment horizontal="right" vertical="center"/>
    </xf>
    <xf numFmtId="0" fontId="99" fillId="27" borderId="44" xfId="4116" applyFont="1" applyFill="1" applyBorder="1" applyAlignment="1">
      <alignment horizontal="right" vertical="center"/>
    </xf>
    <xf numFmtId="0" fontId="99" fillId="27" borderId="182" xfId="4116" applyFont="1" applyFill="1" applyBorder="1" applyAlignment="1">
      <alignment horizontal="right" vertical="center"/>
    </xf>
    <xf numFmtId="0" fontId="102" fillId="27" borderId="122" xfId="4116" applyFont="1" applyFill="1" applyBorder="1" applyAlignment="1">
      <alignment horizontal="right" vertical="center"/>
    </xf>
    <xf numFmtId="0" fontId="102" fillId="27" borderId="123" xfId="4116" applyFont="1" applyFill="1" applyBorder="1" applyAlignment="1">
      <alignment horizontal="right" vertical="center"/>
    </xf>
    <xf numFmtId="0" fontId="102" fillId="27" borderId="124" xfId="4116" applyFont="1" applyFill="1" applyBorder="1" applyAlignment="1">
      <alignment horizontal="right" vertical="center"/>
    </xf>
    <xf numFmtId="165" fontId="42" fillId="27" borderId="173" xfId="20" applyNumberFormat="1" applyFont="1" applyFill="1" applyBorder="1" applyAlignment="1" applyProtection="1">
      <alignment horizontal="left" vertical="center" wrapText="1"/>
    </xf>
    <xf numFmtId="165" fontId="42" fillId="27" borderId="181" xfId="20" applyNumberFormat="1" applyFont="1" applyFill="1" applyBorder="1" applyAlignment="1" applyProtection="1">
      <alignment horizontal="left" vertical="center" wrapText="1"/>
    </xf>
    <xf numFmtId="165" fontId="42" fillId="27" borderId="174" xfId="20" applyNumberFormat="1" applyFont="1" applyFill="1" applyBorder="1" applyAlignment="1" applyProtection="1">
      <alignment horizontal="left" vertical="center" wrapText="1"/>
    </xf>
    <xf numFmtId="165" fontId="42" fillId="27" borderId="177" xfId="20" applyNumberFormat="1" applyFont="1" applyFill="1" applyBorder="1" applyAlignment="1" applyProtection="1">
      <alignment horizontal="left" vertical="center" wrapText="1"/>
    </xf>
    <xf numFmtId="165" fontId="42" fillId="27" borderId="36" xfId="20" applyNumberFormat="1" applyFont="1" applyFill="1" applyBorder="1" applyAlignment="1" applyProtection="1">
      <alignment horizontal="left" vertical="center" wrapText="1"/>
    </xf>
    <xf numFmtId="165" fontId="42" fillId="27" borderId="37" xfId="20" applyNumberFormat="1" applyFont="1" applyFill="1" applyBorder="1" applyAlignment="1" applyProtection="1">
      <alignment horizontal="left" vertical="center" wrapText="1"/>
    </xf>
    <xf numFmtId="165" fontId="42" fillId="27" borderId="177" xfId="20" applyNumberFormat="1" applyFont="1" applyFill="1" applyBorder="1" applyAlignment="1" applyProtection="1">
      <alignment horizontal="center" vertical="center" wrapText="1"/>
    </xf>
    <xf numFmtId="165" fontId="42" fillId="27" borderId="37" xfId="20" applyNumberFormat="1" applyFont="1" applyFill="1" applyBorder="1" applyAlignment="1" applyProtection="1">
      <alignment horizontal="center" vertical="center" wrapText="1"/>
    </xf>
    <xf numFmtId="0" fontId="62" fillId="10" borderId="113" xfId="4116" applyFont="1" applyFill="1" applyBorder="1" applyAlignment="1">
      <alignment horizontal="center" vertical="center" wrapText="1"/>
    </xf>
    <xf numFmtId="0" fontId="62" fillId="10" borderId="116" xfId="4116" applyFont="1" applyFill="1" applyBorder="1" applyAlignment="1">
      <alignment horizontal="center" vertical="center" wrapText="1"/>
    </xf>
    <xf numFmtId="0" fontId="14" fillId="10" borderId="114" xfId="4116" applyFont="1" applyFill="1" applyBorder="1" applyAlignment="1">
      <alignment horizontal="center" vertical="center" wrapText="1"/>
    </xf>
    <xf numFmtId="0" fontId="14" fillId="10" borderId="19" xfId="4116" applyFont="1" applyFill="1" applyBorder="1" applyAlignment="1">
      <alignment horizontal="center" vertical="center" wrapText="1"/>
    </xf>
    <xf numFmtId="0" fontId="29" fillId="0" borderId="0" xfId="4117" applyFont="1" applyFill="1" applyAlignment="1">
      <alignment horizontal="center"/>
    </xf>
    <xf numFmtId="0" fontId="29" fillId="0" borderId="0" xfId="4117" applyFont="1" applyFill="1" applyAlignment="1">
      <alignment horizontal="center" wrapText="1"/>
    </xf>
    <xf numFmtId="4" fontId="39" fillId="0" borderId="1" xfId="4117" applyNumberFormat="1" applyFont="1" applyFill="1" applyBorder="1" applyAlignment="1">
      <alignment horizontal="center" vertical="center"/>
    </xf>
    <xf numFmtId="4" fontId="172" fillId="0" borderId="1" xfId="4117" applyNumberFormat="1" applyFont="1" applyBorder="1" applyAlignment="1">
      <alignment horizontal="center" vertical="center"/>
    </xf>
    <xf numFmtId="4" fontId="39" fillId="0" borderId="1" xfId="4117" applyNumberFormat="1" applyFont="1" applyBorder="1" applyAlignment="1">
      <alignment horizontal="center" vertical="center"/>
    </xf>
    <xf numFmtId="0" fontId="14" fillId="10" borderId="113" xfId="4117" applyFont="1" applyFill="1" applyBorder="1" applyAlignment="1">
      <alignment horizontal="center" vertical="center" wrapText="1"/>
    </xf>
    <xf numFmtId="0" fontId="14" fillId="10" borderId="72" xfId="4117" applyFont="1" applyFill="1" applyBorder="1" applyAlignment="1">
      <alignment horizontal="center" vertical="center" wrapText="1"/>
    </xf>
    <xf numFmtId="0" fontId="14" fillId="10" borderId="126" xfId="4117" applyFont="1" applyFill="1" applyBorder="1" applyAlignment="1">
      <alignment horizontal="center" vertical="center" wrapText="1"/>
    </xf>
    <xf numFmtId="0" fontId="14" fillId="10" borderId="18" xfId="4117" applyFont="1" applyFill="1" applyBorder="1" applyAlignment="1">
      <alignment horizontal="center" vertical="center" wrapText="1"/>
    </xf>
    <xf numFmtId="0" fontId="14" fillId="27" borderId="122" xfId="4117" applyFont="1" applyFill="1" applyBorder="1" applyAlignment="1">
      <alignment horizontal="center" vertical="center"/>
    </xf>
    <xf numFmtId="0" fontId="14" fillId="27" borderId="123" xfId="4117" applyFont="1" applyFill="1" applyBorder="1" applyAlignment="1">
      <alignment horizontal="center" vertical="center"/>
    </xf>
    <xf numFmtId="0" fontId="14" fillId="27" borderId="124" xfId="4117" applyFont="1" applyFill="1" applyBorder="1" applyAlignment="1">
      <alignment horizontal="center" vertical="center"/>
    </xf>
    <xf numFmtId="0" fontId="26" fillId="31" borderId="1" xfId="4117" applyFont="1" applyFill="1" applyBorder="1" applyAlignment="1">
      <alignment horizontal="center" vertical="center" wrapText="1"/>
    </xf>
    <xf numFmtId="49" fontId="26" fillId="31" borderId="1" xfId="4117" applyNumberFormat="1" applyFont="1" applyFill="1" applyBorder="1" applyAlignment="1">
      <alignment horizontal="center" vertical="center"/>
    </xf>
    <xf numFmtId="166" fontId="39" fillId="67" borderId="35" xfId="9" applyNumberFormat="1" applyFont="1" applyFill="1" applyBorder="1" applyAlignment="1" applyProtection="1">
      <alignment horizontal="left" vertical="center" wrapText="1"/>
    </xf>
    <xf numFmtId="166" fontId="39" fillId="67" borderId="178" xfId="9" applyNumberFormat="1" applyFont="1" applyFill="1" applyBorder="1" applyAlignment="1" applyProtection="1">
      <alignment horizontal="left" vertical="center" wrapText="1"/>
    </xf>
    <xf numFmtId="0" fontId="25" fillId="10" borderId="72" xfId="4114" applyFont="1" applyFill="1" applyBorder="1" applyAlignment="1">
      <alignment vertical="center" wrapText="1"/>
    </xf>
    <xf numFmtId="0" fontId="25" fillId="10" borderId="1" xfId="4114" applyFont="1" applyFill="1" applyBorder="1" applyAlignment="1">
      <alignment vertical="center" wrapText="1"/>
    </xf>
    <xf numFmtId="0" fontId="25" fillId="10" borderId="18" xfId="4114" applyFont="1" applyFill="1" applyBorder="1" applyAlignment="1">
      <alignment horizontal="center" vertical="center" wrapText="1"/>
    </xf>
    <xf numFmtId="0" fontId="25" fillId="10" borderId="179" xfId="4114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6" fontId="44" fillId="0" borderId="55" xfId="9" applyNumberFormat="1" applyFont="1" applyBorder="1" applyAlignment="1" applyProtection="1">
      <alignment horizontal="center" vertical="center" wrapText="1"/>
    </xf>
    <xf numFmtId="166" fontId="44" fillId="0" borderId="0" xfId="9" applyNumberFormat="1" applyFont="1" applyBorder="1" applyAlignment="1" applyProtection="1">
      <alignment horizontal="center" vertical="center" wrapText="1"/>
    </xf>
  </cellXfs>
  <cellStyles count="4118">
    <cellStyle name="20% - Accent1 2" xfId="2027"/>
    <cellStyle name="20% - Accent1 2 2" xfId="2060"/>
    <cellStyle name="20% - Accent2 2" xfId="2028"/>
    <cellStyle name="20% - Accent2 2 2" xfId="2061"/>
    <cellStyle name="20% - Accent3 2" xfId="2029"/>
    <cellStyle name="20% - Accent3 2 2" xfId="2062"/>
    <cellStyle name="20% - Accent4 2" xfId="2030"/>
    <cellStyle name="20% - Accent4 2 2" xfId="2063"/>
    <cellStyle name="20% - Accent5 2" xfId="2031"/>
    <cellStyle name="20% - Accent5 2 2" xfId="2064"/>
    <cellStyle name="20% - Accent6 2" xfId="2032"/>
    <cellStyle name="20% - Accent6 2 2" xfId="2065"/>
    <cellStyle name="40% - Accent1 2" xfId="2033"/>
    <cellStyle name="40% - Accent1 2 2" xfId="2066"/>
    <cellStyle name="40% - Accent2 2" xfId="2034"/>
    <cellStyle name="40% - Accent2 2 2" xfId="2067"/>
    <cellStyle name="40% - Accent3 2" xfId="2035"/>
    <cellStyle name="40% - Accent3 2 2" xfId="2068"/>
    <cellStyle name="40% - Accent4 2" xfId="2036"/>
    <cellStyle name="40% - Accent4 2 2" xfId="2069"/>
    <cellStyle name="40% - Accent5 2" xfId="2037"/>
    <cellStyle name="40% - Accent5 2 2" xfId="2070"/>
    <cellStyle name="40% - Accent6 2" xfId="2038"/>
    <cellStyle name="40% - Accent6 2 2" xfId="2071"/>
    <cellStyle name="Bad 2" xfId="2039"/>
    <cellStyle name="Bad 2 2" xfId="2072"/>
    <cellStyle name="ContentsHyperlink" xfId="1"/>
    <cellStyle name="ContentsHyperlink 2" xfId="2073"/>
    <cellStyle name="Currency 2" xfId="2040"/>
    <cellStyle name="Currency 2 2" xfId="2074"/>
    <cellStyle name="Emphasis 1" xfId="2041"/>
    <cellStyle name="Emphasis 1 2" xfId="2075"/>
    <cellStyle name="Emphasis 2" xfId="2042"/>
    <cellStyle name="Emphasis 2 2" xfId="2076"/>
    <cellStyle name="Emphasis 3" xfId="2043"/>
    <cellStyle name="Emphasis 3 2" xfId="2077"/>
    <cellStyle name="Excel Built-in Total" xfId="4107"/>
    <cellStyle name="Excel_BuiltIn_Total" xfId="22"/>
    <cellStyle name="Explanatory Text 2" xfId="23"/>
    <cellStyle name="Explanatory Text 3" xfId="2054"/>
    <cellStyle name="Explanatory Text 3 2" xfId="2078"/>
    <cellStyle name="Hyperlink" xfId="2" builtinId="8"/>
    <cellStyle name="Hyperlink 2" xfId="24"/>
    <cellStyle name="Hyperlink 2 2" xfId="2079"/>
    <cellStyle name="Hyperlink 3" xfId="25"/>
    <cellStyle name="Hyperlink 3 2" xfId="2080"/>
    <cellStyle name="Hyperlink 4" xfId="2059"/>
    <cellStyle name="Linked Cell 2" xfId="2044"/>
    <cellStyle name="Linked Cell 2 2" xfId="2045"/>
    <cellStyle name="Linked Cell 2 2 2" xfId="2082"/>
    <cellStyle name="Linked Cell 2 3" xfId="2081"/>
    <cellStyle name="Normal" xfId="0" builtinId="0"/>
    <cellStyle name="Normal 2" xfId="3"/>
    <cellStyle name="Normal 2 2" xfId="4"/>
    <cellStyle name="Normal 2 2 2" xfId="2084"/>
    <cellStyle name="Normal 2 3" xfId="2083"/>
    <cellStyle name="Normal 3" xfId="5"/>
    <cellStyle name="Normal 3 2" xfId="6"/>
    <cellStyle name="Normal 3 2 2" xfId="2086"/>
    <cellStyle name="Normal 3 3" xfId="21"/>
    <cellStyle name="Normal 3 3 2" xfId="2087"/>
    <cellStyle name="Normal 3 3 2 2" xfId="4114"/>
    <cellStyle name="Normal 3 3 2 2 2" xfId="4117"/>
    <cellStyle name="Normal 3 4" xfId="26"/>
    <cellStyle name="Normal 3 4 2" xfId="27"/>
    <cellStyle name="Normal 3 4 2 2" xfId="2089"/>
    <cellStyle name="Normal 3 4 3" xfId="2088"/>
    <cellStyle name="Normal 3 5" xfId="2085"/>
    <cellStyle name="Normal 3 6" xfId="4113"/>
    <cellStyle name="Normal 3 6 2" xfId="4116"/>
    <cellStyle name="Normal 3_2017 BOLNICA tab usluge Plan Sokobanja  01.01-30.06.2017" xfId="2046"/>
    <cellStyle name="Normal 4" xfId="7"/>
    <cellStyle name="Normal 4 2" xfId="11"/>
    <cellStyle name="Normal 4 2 2" xfId="2091"/>
    <cellStyle name="Normal 4 2 3" xfId="4111"/>
    <cellStyle name="Normal 4 3" xfId="2053"/>
    <cellStyle name="Normal 4 3 2" xfId="2092"/>
    <cellStyle name="Normal 4 3 3" xfId="4110"/>
    <cellStyle name="Normal 4 4" xfId="2090"/>
    <cellStyle name="Normal 4 5" xfId="4112"/>
    <cellStyle name="Normal 5" xfId="13"/>
    <cellStyle name="Normal 5 2" xfId="2047"/>
    <cellStyle name="Normal 5 2 2" xfId="2094"/>
    <cellStyle name="Normal 5 2 3" xfId="4109"/>
    <cellStyle name="Normal 6" xfId="2058"/>
    <cellStyle name="Normal 7" xfId="2093"/>
    <cellStyle name="Normál_Izvrsenje-PLAN2011" xfId="2048"/>
    <cellStyle name="Normal_normativ kadra _ tabel_1 2" xfId="2057"/>
    <cellStyle name="Normal_Plan usluga BOLNICA(MILICA) koristi za plansamo moje" xfId="14"/>
    <cellStyle name="Normal_TAB DZ 1-10 (1) 2 2" xfId="2056"/>
    <cellStyle name="Normal_TAB DZ 1-10 (1) 3" xfId="2055"/>
    <cellStyle name="Note 2" xfId="2049"/>
    <cellStyle name="Note 2 2" xfId="2050"/>
    <cellStyle name="Note 2 2 2" xfId="2096"/>
    <cellStyle name="Note 2 3" xfId="2095"/>
    <cellStyle name="Percent 2" xfId="2051"/>
    <cellStyle name="Percent 2 2" xfId="2097"/>
    <cellStyle name="Sheet Title" xfId="2052"/>
    <cellStyle name="Sheet Title 2" xfId="2098"/>
    <cellStyle name="Student Information" xfId="8"/>
    <cellStyle name="Student Information - user entered" xfId="9"/>
    <cellStyle name="Student Information - user entered 2" xfId="17"/>
    <cellStyle name="Student Information - user entered 2 2" xfId="2101"/>
    <cellStyle name="Student Information - user entered 3" xfId="2100"/>
    <cellStyle name="Student Information 10" xfId="12"/>
    <cellStyle name="Student Information 10 2" xfId="19"/>
    <cellStyle name="Student Information 10 2 2" xfId="28"/>
    <cellStyle name="Student Information 10 2 2 2" xfId="29"/>
    <cellStyle name="Student Information 10 2 2 2 2" xfId="2105"/>
    <cellStyle name="Student Information 10 2 2 3" xfId="30"/>
    <cellStyle name="Student Information 10 2 2 3 2" xfId="2106"/>
    <cellStyle name="Student Information 10 2 2 4" xfId="2104"/>
    <cellStyle name="Student Information 10 2 3" xfId="31"/>
    <cellStyle name="Student Information 10 2 3 2" xfId="32"/>
    <cellStyle name="Student Information 10 2 3 2 2" xfId="2108"/>
    <cellStyle name="Student Information 10 2 3 3" xfId="33"/>
    <cellStyle name="Student Information 10 2 3 3 2" xfId="2109"/>
    <cellStyle name="Student Information 10 2 3 4" xfId="2107"/>
    <cellStyle name="Student Information 10 2 4" xfId="34"/>
    <cellStyle name="Student Information 10 2 4 2" xfId="35"/>
    <cellStyle name="Student Information 10 2 4 2 2" xfId="2111"/>
    <cellStyle name="Student Information 10 2 4 3" xfId="36"/>
    <cellStyle name="Student Information 10 2 4 3 2" xfId="2112"/>
    <cellStyle name="Student Information 10 2 4 4" xfId="2110"/>
    <cellStyle name="Student Information 10 2 5" xfId="37"/>
    <cellStyle name="Student Information 10 2 5 2" xfId="38"/>
    <cellStyle name="Student Information 10 2 5 2 2" xfId="2114"/>
    <cellStyle name="Student Information 10 2 5 3" xfId="39"/>
    <cellStyle name="Student Information 10 2 5 3 2" xfId="2115"/>
    <cellStyle name="Student Information 10 2 5 4" xfId="2113"/>
    <cellStyle name="Student Information 10 2 6" xfId="2103"/>
    <cellStyle name="Student Information 10 3" xfId="40"/>
    <cellStyle name="Student Information 10 3 2" xfId="41"/>
    <cellStyle name="Student Information 10 3 2 2" xfId="42"/>
    <cellStyle name="Student Information 10 3 2 2 2" xfId="2118"/>
    <cellStyle name="Student Information 10 3 2 3" xfId="43"/>
    <cellStyle name="Student Information 10 3 2 3 2" xfId="2119"/>
    <cellStyle name="Student Information 10 3 2 4" xfId="2117"/>
    <cellStyle name="Student Information 10 3 3" xfId="44"/>
    <cellStyle name="Student Information 10 3 3 2" xfId="45"/>
    <cellStyle name="Student Information 10 3 3 2 2" xfId="2121"/>
    <cellStyle name="Student Information 10 3 3 3" xfId="46"/>
    <cellStyle name="Student Information 10 3 3 3 2" xfId="2122"/>
    <cellStyle name="Student Information 10 3 3 4" xfId="47"/>
    <cellStyle name="Student Information 10 3 3 4 2" xfId="2123"/>
    <cellStyle name="Student Information 10 3 3 5" xfId="2120"/>
    <cellStyle name="Student Information 10 3 4" xfId="48"/>
    <cellStyle name="Student Information 10 3 4 2" xfId="49"/>
    <cellStyle name="Student Information 10 3 4 2 2" xfId="2125"/>
    <cellStyle name="Student Information 10 3 4 3" xfId="50"/>
    <cellStyle name="Student Information 10 3 4 3 2" xfId="2126"/>
    <cellStyle name="Student Information 10 3 4 4" xfId="2124"/>
    <cellStyle name="Student Information 10 3 5" xfId="51"/>
    <cellStyle name="Student Information 10 3 5 2" xfId="52"/>
    <cellStyle name="Student Information 10 3 5 2 2" xfId="2128"/>
    <cellStyle name="Student Information 10 3 5 3" xfId="53"/>
    <cellStyle name="Student Information 10 3 5 3 2" xfId="2129"/>
    <cellStyle name="Student Information 10 3 5 4" xfId="2127"/>
    <cellStyle name="Student Information 10 3 6" xfId="2116"/>
    <cellStyle name="Student Information 10 4" xfId="54"/>
    <cellStyle name="Student Information 10 4 2" xfId="55"/>
    <cellStyle name="Student Information 10 4 2 2" xfId="2131"/>
    <cellStyle name="Student Information 10 4 3" xfId="56"/>
    <cellStyle name="Student Information 10 4 3 2" xfId="2132"/>
    <cellStyle name="Student Information 10 4 4" xfId="2130"/>
    <cellStyle name="Student Information 10 5" xfId="57"/>
    <cellStyle name="Student Information 10 5 2" xfId="58"/>
    <cellStyle name="Student Information 10 5 2 2" xfId="2134"/>
    <cellStyle name="Student Information 10 5 3" xfId="59"/>
    <cellStyle name="Student Information 10 5 3 2" xfId="2135"/>
    <cellStyle name="Student Information 10 5 4" xfId="60"/>
    <cellStyle name="Student Information 10 5 4 2" xfId="2136"/>
    <cellStyle name="Student Information 10 5 5" xfId="2133"/>
    <cellStyle name="Student Information 10 6" xfId="61"/>
    <cellStyle name="Student Information 10 6 2" xfId="62"/>
    <cellStyle name="Student Information 10 6 2 2" xfId="2138"/>
    <cellStyle name="Student Information 10 6 3" xfId="63"/>
    <cellStyle name="Student Information 10 6 3 2" xfId="2139"/>
    <cellStyle name="Student Information 10 6 4" xfId="2137"/>
    <cellStyle name="Student Information 10 7" xfId="64"/>
    <cellStyle name="Student Information 10 7 2" xfId="65"/>
    <cellStyle name="Student Information 10 7 2 2" xfId="2141"/>
    <cellStyle name="Student Information 10 7 3" xfId="66"/>
    <cellStyle name="Student Information 10 7 3 2" xfId="2142"/>
    <cellStyle name="Student Information 10 7 4" xfId="2140"/>
    <cellStyle name="Student Information 10 8" xfId="2102"/>
    <cellStyle name="Student Information 100" xfId="67"/>
    <cellStyle name="Student Information 100 2" xfId="68"/>
    <cellStyle name="Student Information 100 2 2" xfId="2144"/>
    <cellStyle name="Student Information 100 3" xfId="69"/>
    <cellStyle name="Student Information 100 3 2" xfId="2145"/>
    <cellStyle name="Student Information 100 4" xfId="2143"/>
    <cellStyle name="Student Information 101" xfId="70"/>
    <cellStyle name="Student Information 101 2" xfId="71"/>
    <cellStyle name="Student Information 101 2 2" xfId="2147"/>
    <cellStyle name="Student Information 101 3" xfId="72"/>
    <cellStyle name="Student Information 101 3 2" xfId="2148"/>
    <cellStyle name="Student Information 101 4" xfId="2146"/>
    <cellStyle name="Student Information 102" xfId="73"/>
    <cellStyle name="Student Information 102 2" xfId="74"/>
    <cellStyle name="Student Information 102 2 2" xfId="2150"/>
    <cellStyle name="Student Information 102 3" xfId="75"/>
    <cellStyle name="Student Information 102 3 2" xfId="2151"/>
    <cellStyle name="Student Information 102 4" xfId="2149"/>
    <cellStyle name="Student Information 103" xfId="76"/>
    <cellStyle name="Student Information 103 2" xfId="77"/>
    <cellStyle name="Student Information 103 2 2" xfId="2153"/>
    <cellStyle name="Student Information 103 3" xfId="78"/>
    <cellStyle name="Student Information 103 3 2" xfId="2154"/>
    <cellStyle name="Student Information 103 4" xfId="2152"/>
    <cellStyle name="Student Information 104" xfId="79"/>
    <cellStyle name="Student Information 104 2" xfId="80"/>
    <cellStyle name="Student Information 104 2 2" xfId="2156"/>
    <cellStyle name="Student Information 104 3" xfId="81"/>
    <cellStyle name="Student Information 104 3 2" xfId="2157"/>
    <cellStyle name="Student Information 104 4" xfId="2155"/>
    <cellStyle name="Student Information 105" xfId="82"/>
    <cellStyle name="Student Information 105 2" xfId="83"/>
    <cellStyle name="Student Information 105 2 2" xfId="2159"/>
    <cellStyle name="Student Information 105 3" xfId="84"/>
    <cellStyle name="Student Information 105 3 2" xfId="2160"/>
    <cellStyle name="Student Information 105 4" xfId="2158"/>
    <cellStyle name="Student Information 106" xfId="85"/>
    <cellStyle name="Student Information 106 2" xfId="86"/>
    <cellStyle name="Student Information 106 2 2" xfId="2162"/>
    <cellStyle name="Student Information 106 3" xfId="87"/>
    <cellStyle name="Student Information 106 3 2" xfId="2163"/>
    <cellStyle name="Student Information 106 4" xfId="2161"/>
    <cellStyle name="Student Information 107" xfId="88"/>
    <cellStyle name="Student Information 107 2" xfId="89"/>
    <cellStyle name="Student Information 107 2 2" xfId="2165"/>
    <cellStyle name="Student Information 107 3" xfId="90"/>
    <cellStyle name="Student Information 107 3 2" xfId="2166"/>
    <cellStyle name="Student Information 107 4" xfId="2164"/>
    <cellStyle name="Student Information 108" xfId="91"/>
    <cellStyle name="Student Information 108 2" xfId="92"/>
    <cellStyle name="Student Information 108 2 2" xfId="2168"/>
    <cellStyle name="Student Information 108 3" xfId="93"/>
    <cellStyle name="Student Information 108 3 2" xfId="2169"/>
    <cellStyle name="Student Information 108 4" xfId="2167"/>
    <cellStyle name="Student Information 109" xfId="94"/>
    <cellStyle name="Student Information 109 2" xfId="95"/>
    <cellStyle name="Student Information 109 2 2" xfId="2171"/>
    <cellStyle name="Student Information 109 3" xfId="96"/>
    <cellStyle name="Student Information 109 3 2" xfId="2172"/>
    <cellStyle name="Student Information 109 4" xfId="2170"/>
    <cellStyle name="Student Information 11" xfId="97"/>
    <cellStyle name="Student Information 11 2" xfId="98"/>
    <cellStyle name="Student Information 11 2 2" xfId="99"/>
    <cellStyle name="Student Information 11 2 2 2" xfId="100"/>
    <cellStyle name="Student Information 11 2 2 2 2" xfId="2176"/>
    <cellStyle name="Student Information 11 2 2 3" xfId="101"/>
    <cellStyle name="Student Information 11 2 2 3 2" xfId="2177"/>
    <cellStyle name="Student Information 11 2 2 4" xfId="2175"/>
    <cellStyle name="Student Information 11 2 3" xfId="102"/>
    <cellStyle name="Student Information 11 2 3 2" xfId="103"/>
    <cellStyle name="Student Information 11 2 3 2 2" xfId="2179"/>
    <cellStyle name="Student Information 11 2 3 3" xfId="104"/>
    <cellStyle name="Student Information 11 2 3 3 2" xfId="2180"/>
    <cellStyle name="Student Information 11 2 3 4" xfId="2178"/>
    <cellStyle name="Student Information 11 2 4" xfId="105"/>
    <cellStyle name="Student Information 11 2 4 2" xfId="106"/>
    <cellStyle name="Student Information 11 2 4 2 2" xfId="2182"/>
    <cellStyle name="Student Information 11 2 4 3" xfId="107"/>
    <cellStyle name="Student Information 11 2 4 3 2" xfId="2183"/>
    <cellStyle name="Student Information 11 2 4 4" xfId="2181"/>
    <cellStyle name="Student Information 11 2 5" xfId="108"/>
    <cellStyle name="Student Information 11 2 5 2" xfId="109"/>
    <cellStyle name="Student Information 11 2 5 2 2" xfId="2185"/>
    <cellStyle name="Student Information 11 2 5 3" xfId="110"/>
    <cellStyle name="Student Information 11 2 5 3 2" xfId="2186"/>
    <cellStyle name="Student Information 11 2 5 4" xfId="2184"/>
    <cellStyle name="Student Information 11 2 6" xfId="2174"/>
    <cellStyle name="Student Information 11 3" xfId="111"/>
    <cellStyle name="Student Information 11 3 2" xfId="112"/>
    <cellStyle name="Student Information 11 3 2 2" xfId="113"/>
    <cellStyle name="Student Information 11 3 2 2 2" xfId="2189"/>
    <cellStyle name="Student Information 11 3 2 3" xfId="114"/>
    <cellStyle name="Student Information 11 3 2 3 2" xfId="2190"/>
    <cellStyle name="Student Information 11 3 2 4" xfId="2188"/>
    <cellStyle name="Student Information 11 3 3" xfId="115"/>
    <cellStyle name="Student Information 11 3 3 2" xfId="116"/>
    <cellStyle name="Student Information 11 3 3 2 2" xfId="2192"/>
    <cellStyle name="Student Information 11 3 3 3" xfId="117"/>
    <cellStyle name="Student Information 11 3 3 3 2" xfId="2193"/>
    <cellStyle name="Student Information 11 3 3 4" xfId="118"/>
    <cellStyle name="Student Information 11 3 3 4 2" xfId="2194"/>
    <cellStyle name="Student Information 11 3 3 5" xfId="2191"/>
    <cellStyle name="Student Information 11 3 4" xfId="119"/>
    <cellStyle name="Student Information 11 3 4 2" xfId="120"/>
    <cellStyle name="Student Information 11 3 4 2 2" xfId="2196"/>
    <cellStyle name="Student Information 11 3 4 3" xfId="121"/>
    <cellStyle name="Student Information 11 3 4 3 2" xfId="2197"/>
    <cellStyle name="Student Information 11 3 4 4" xfId="2195"/>
    <cellStyle name="Student Information 11 3 5" xfId="122"/>
    <cellStyle name="Student Information 11 3 5 2" xfId="123"/>
    <cellStyle name="Student Information 11 3 5 2 2" xfId="2199"/>
    <cellStyle name="Student Information 11 3 5 3" xfId="124"/>
    <cellStyle name="Student Information 11 3 5 3 2" xfId="2200"/>
    <cellStyle name="Student Information 11 3 5 4" xfId="2198"/>
    <cellStyle name="Student Information 11 3 6" xfId="2187"/>
    <cellStyle name="Student Information 11 4" xfId="125"/>
    <cellStyle name="Student Information 11 4 2" xfId="126"/>
    <cellStyle name="Student Information 11 4 2 2" xfId="2202"/>
    <cellStyle name="Student Information 11 4 3" xfId="127"/>
    <cellStyle name="Student Information 11 4 3 2" xfId="2203"/>
    <cellStyle name="Student Information 11 4 4" xfId="2201"/>
    <cellStyle name="Student Information 11 5" xfId="128"/>
    <cellStyle name="Student Information 11 5 2" xfId="129"/>
    <cellStyle name="Student Information 11 5 2 2" xfId="2205"/>
    <cellStyle name="Student Information 11 5 3" xfId="130"/>
    <cellStyle name="Student Information 11 5 3 2" xfId="2206"/>
    <cellStyle name="Student Information 11 5 4" xfId="131"/>
    <cellStyle name="Student Information 11 5 4 2" xfId="2207"/>
    <cellStyle name="Student Information 11 5 5" xfId="2204"/>
    <cellStyle name="Student Information 11 6" xfId="132"/>
    <cellStyle name="Student Information 11 6 2" xfId="133"/>
    <cellStyle name="Student Information 11 6 2 2" xfId="2209"/>
    <cellStyle name="Student Information 11 6 3" xfId="134"/>
    <cellStyle name="Student Information 11 6 3 2" xfId="2210"/>
    <cellStyle name="Student Information 11 6 4" xfId="2208"/>
    <cellStyle name="Student Information 11 7" xfId="135"/>
    <cellStyle name="Student Information 11 7 2" xfId="136"/>
    <cellStyle name="Student Information 11 7 2 2" xfId="2212"/>
    <cellStyle name="Student Information 11 7 3" xfId="137"/>
    <cellStyle name="Student Information 11 7 3 2" xfId="2213"/>
    <cellStyle name="Student Information 11 7 4" xfId="2211"/>
    <cellStyle name="Student Information 11 8" xfId="2173"/>
    <cellStyle name="Student Information 110" xfId="138"/>
    <cellStyle name="Student Information 110 2" xfId="139"/>
    <cellStyle name="Student Information 110 2 2" xfId="2215"/>
    <cellStyle name="Student Information 110 3" xfId="140"/>
    <cellStyle name="Student Information 110 3 2" xfId="2216"/>
    <cellStyle name="Student Information 110 4" xfId="2214"/>
    <cellStyle name="Student Information 111" xfId="141"/>
    <cellStyle name="Student Information 111 2" xfId="142"/>
    <cellStyle name="Student Information 111 2 2" xfId="2218"/>
    <cellStyle name="Student Information 111 3" xfId="143"/>
    <cellStyle name="Student Information 111 3 2" xfId="2219"/>
    <cellStyle name="Student Information 111 4" xfId="2217"/>
    <cellStyle name="Student Information 112" xfId="144"/>
    <cellStyle name="Student Information 112 2" xfId="145"/>
    <cellStyle name="Student Information 112 2 2" xfId="2221"/>
    <cellStyle name="Student Information 112 3" xfId="146"/>
    <cellStyle name="Student Information 112 3 2" xfId="2222"/>
    <cellStyle name="Student Information 112 4" xfId="2220"/>
    <cellStyle name="Student Information 113" xfId="147"/>
    <cellStyle name="Student Information 113 2" xfId="148"/>
    <cellStyle name="Student Information 113 2 2" xfId="2224"/>
    <cellStyle name="Student Information 113 3" xfId="149"/>
    <cellStyle name="Student Information 113 3 2" xfId="2225"/>
    <cellStyle name="Student Information 113 4" xfId="2223"/>
    <cellStyle name="Student Information 114" xfId="150"/>
    <cellStyle name="Student Information 114 2" xfId="151"/>
    <cellStyle name="Student Information 114 2 2" xfId="2227"/>
    <cellStyle name="Student Information 114 3" xfId="152"/>
    <cellStyle name="Student Information 114 3 2" xfId="2228"/>
    <cellStyle name="Student Information 114 4" xfId="2226"/>
    <cellStyle name="Student Information 115" xfId="153"/>
    <cellStyle name="Student Information 115 2" xfId="154"/>
    <cellStyle name="Student Information 115 2 2" xfId="2230"/>
    <cellStyle name="Student Information 115 3" xfId="155"/>
    <cellStyle name="Student Information 115 3 2" xfId="2231"/>
    <cellStyle name="Student Information 115 4" xfId="2229"/>
    <cellStyle name="Student Information 116" xfId="156"/>
    <cellStyle name="Student Information 116 2" xfId="157"/>
    <cellStyle name="Student Information 116 2 2" xfId="2233"/>
    <cellStyle name="Student Information 116 3" xfId="158"/>
    <cellStyle name="Student Information 116 3 2" xfId="2234"/>
    <cellStyle name="Student Information 116 4" xfId="2232"/>
    <cellStyle name="Student Information 117" xfId="159"/>
    <cellStyle name="Student Information 117 2" xfId="160"/>
    <cellStyle name="Student Information 117 2 2" xfId="2236"/>
    <cellStyle name="Student Information 117 3" xfId="161"/>
    <cellStyle name="Student Information 117 3 2" xfId="2237"/>
    <cellStyle name="Student Information 117 4" xfId="2235"/>
    <cellStyle name="Student Information 118" xfId="162"/>
    <cellStyle name="Student Information 118 2" xfId="163"/>
    <cellStyle name="Student Information 118 2 2" xfId="2239"/>
    <cellStyle name="Student Information 118 3" xfId="164"/>
    <cellStyle name="Student Information 118 3 2" xfId="2240"/>
    <cellStyle name="Student Information 118 4" xfId="165"/>
    <cellStyle name="Student Information 118 4 2" xfId="2241"/>
    <cellStyle name="Student Information 118 5" xfId="2238"/>
    <cellStyle name="Student Information 119" xfId="166"/>
    <cellStyle name="Student Information 119 2" xfId="167"/>
    <cellStyle name="Student Information 119 2 2" xfId="2243"/>
    <cellStyle name="Student Information 119 3" xfId="168"/>
    <cellStyle name="Student Information 119 3 2" xfId="2244"/>
    <cellStyle name="Student Information 119 4" xfId="169"/>
    <cellStyle name="Student Information 119 4 2" xfId="2245"/>
    <cellStyle name="Student Information 119 5" xfId="2242"/>
    <cellStyle name="Student Information 12" xfId="170"/>
    <cellStyle name="Student Information 12 2" xfId="171"/>
    <cellStyle name="Student Information 12 2 2" xfId="172"/>
    <cellStyle name="Student Information 12 2 2 2" xfId="173"/>
    <cellStyle name="Student Information 12 2 2 2 2" xfId="2249"/>
    <cellStyle name="Student Information 12 2 2 3" xfId="174"/>
    <cellStyle name="Student Information 12 2 2 3 2" xfId="2250"/>
    <cellStyle name="Student Information 12 2 2 4" xfId="2248"/>
    <cellStyle name="Student Information 12 2 3" xfId="175"/>
    <cellStyle name="Student Information 12 2 3 2" xfId="176"/>
    <cellStyle name="Student Information 12 2 3 2 2" xfId="2252"/>
    <cellStyle name="Student Information 12 2 3 3" xfId="177"/>
    <cellStyle name="Student Information 12 2 3 3 2" xfId="2253"/>
    <cellStyle name="Student Information 12 2 3 4" xfId="2251"/>
    <cellStyle name="Student Information 12 2 4" xfId="178"/>
    <cellStyle name="Student Information 12 2 4 2" xfId="179"/>
    <cellStyle name="Student Information 12 2 4 2 2" xfId="2255"/>
    <cellStyle name="Student Information 12 2 4 3" xfId="180"/>
    <cellStyle name="Student Information 12 2 4 3 2" xfId="2256"/>
    <cellStyle name="Student Information 12 2 4 4" xfId="2254"/>
    <cellStyle name="Student Information 12 2 5" xfId="181"/>
    <cellStyle name="Student Information 12 2 5 2" xfId="182"/>
    <cellStyle name="Student Information 12 2 5 2 2" xfId="2258"/>
    <cellStyle name="Student Information 12 2 5 3" xfId="183"/>
    <cellStyle name="Student Information 12 2 5 3 2" xfId="2259"/>
    <cellStyle name="Student Information 12 2 5 4" xfId="2257"/>
    <cellStyle name="Student Information 12 2 6" xfId="2247"/>
    <cellStyle name="Student Information 12 3" xfId="184"/>
    <cellStyle name="Student Information 12 3 2" xfId="185"/>
    <cellStyle name="Student Information 12 3 2 2" xfId="186"/>
    <cellStyle name="Student Information 12 3 2 2 2" xfId="2262"/>
    <cellStyle name="Student Information 12 3 2 3" xfId="187"/>
    <cellStyle name="Student Information 12 3 2 3 2" xfId="2263"/>
    <cellStyle name="Student Information 12 3 2 4" xfId="2261"/>
    <cellStyle name="Student Information 12 3 3" xfId="188"/>
    <cellStyle name="Student Information 12 3 3 2" xfId="189"/>
    <cellStyle name="Student Information 12 3 3 2 2" xfId="2265"/>
    <cellStyle name="Student Information 12 3 3 3" xfId="190"/>
    <cellStyle name="Student Information 12 3 3 3 2" xfId="2266"/>
    <cellStyle name="Student Information 12 3 3 4" xfId="191"/>
    <cellStyle name="Student Information 12 3 3 4 2" xfId="2267"/>
    <cellStyle name="Student Information 12 3 3 5" xfId="2264"/>
    <cellStyle name="Student Information 12 3 4" xfId="192"/>
    <cellStyle name="Student Information 12 3 4 2" xfId="193"/>
    <cellStyle name="Student Information 12 3 4 2 2" xfId="2269"/>
    <cellStyle name="Student Information 12 3 4 3" xfId="194"/>
    <cellStyle name="Student Information 12 3 4 3 2" xfId="2270"/>
    <cellStyle name="Student Information 12 3 4 4" xfId="2268"/>
    <cellStyle name="Student Information 12 3 5" xfId="195"/>
    <cellStyle name="Student Information 12 3 5 2" xfId="196"/>
    <cellStyle name="Student Information 12 3 5 2 2" xfId="2272"/>
    <cellStyle name="Student Information 12 3 5 3" xfId="197"/>
    <cellStyle name="Student Information 12 3 5 3 2" xfId="2273"/>
    <cellStyle name="Student Information 12 3 5 4" xfId="2271"/>
    <cellStyle name="Student Information 12 3 6" xfId="2260"/>
    <cellStyle name="Student Information 12 4" xfId="198"/>
    <cellStyle name="Student Information 12 4 2" xfId="199"/>
    <cellStyle name="Student Information 12 4 2 2" xfId="2275"/>
    <cellStyle name="Student Information 12 4 3" xfId="200"/>
    <cellStyle name="Student Information 12 4 3 2" xfId="2276"/>
    <cellStyle name="Student Information 12 4 4" xfId="2274"/>
    <cellStyle name="Student Information 12 5" xfId="201"/>
    <cellStyle name="Student Information 12 5 2" xfId="202"/>
    <cellStyle name="Student Information 12 5 2 2" xfId="2278"/>
    <cellStyle name="Student Information 12 5 3" xfId="203"/>
    <cellStyle name="Student Information 12 5 3 2" xfId="2279"/>
    <cellStyle name="Student Information 12 5 4" xfId="204"/>
    <cellStyle name="Student Information 12 5 4 2" xfId="2280"/>
    <cellStyle name="Student Information 12 5 5" xfId="2277"/>
    <cellStyle name="Student Information 12 6" xfId="205"/>
    <cellStyle name="Student Information 12 6 2" xfId="206"/>
    <cellStyle name="Student Information 12 6 2 2" xfId="2282"/>
    <cellStyle name="Student Information 12 6 3" xfId="207"/>
    <cellStyle name="Student Information 12 6 3 2" xfId="2283"/>
    <cellStyle name="Student Information 12 6 4" xfId="2281"/>
    <cellStyle name="Student Information 12 7" xfId="208"/>
    <cellStyle name="Student Information 12 7 2" xfId="209"/>
    <cellStyle name="Student Information 12 7 2 2" xfId="2285"/>
    <cellStyle name="Student Information 12 7 3" xfId="210"/>
    <cellStyle name="Student Information 12 7 3 2" xfId="2286"/>
    <cellStyle name="Student Information 12 7 4" xfId="2284"/>
    <cellStyle name="Student Information 12 8" xfId="2246"/>
    <cellStyle name="Student Information 120" xfId="211"/>
    <cellStyle name="Student Information 120 2" xfId="212"/>
    <cellStyle name="Student Information 120 2 2" xfId="2288"/>
    <cellStyle name="Student Information 120 3" xfId="213"/>
    <cellStyle name="Student Information 120 3 2" xfId="2289"/>
    <cellStyle name="Student Information 120 4" xfId="214"/>
    <cellStyle name="Student Information 120 4 2" xfId="2290"/>
    <cellStyle name="Student Information 120 5" xfId="2287"/>
    <cellStyle name="Student Information 121" xfId="215"/>
    <cellStyle name="Student Information 121 2" xfId="216"/>
    <cellStyle name="Student Information 121 2 2" xfId="2292"/>
    <cellStyle name="Student Information 121 3" xfId="217"/>
    <cellStyle name="Student Information 121 3 2" xfId="2293"/>
    <cellStyle name="Student Information 121 4" xfId="218"/>
    <cellStyle name="Student Information 121 4 2" xfId="2294"/>
    <cellStyle name="Student Information 121 5" xfId="2291"/>
    <cellStyle name="Student Information 122" xfId="219"/>
    <cellStyle name="Student Information 122 2" xfId="220"/>
    <cellStyle name="Student Information 122 2 2" xfId="2296"/>
    <cellStyle name="Student Information 122 3" xfId="221"/>
    <cellStyle name="Student Information 122 3 2" xfId="2297"/>
    <cellStyle name="Student Information 122 4" xfId="222"/>
    <cellStyle name="Student Information 122 4 2" xfId="2298"/>
    <cellStyle name="Student Information 122 5" xfId="2295"/>
    <cellStyle name="Student Information 123" xfId="223"/>
    <cellStyle name="Student Information 123 2" xfId="224"/>
    <cellStyle name="Student Information 123 2 2" xfId="2300"/>
    <cellStyle name="Student Information 123 3" xfId="225"/>
    <cellStyle name="Student Information 123 3 2" xfId="2301"/>
    <cellStyle name="Student Information 123 4" xfId="226"/>
    <cellStyle name="Student Information 123 4 2" xfId="2302"/>
    <cellStyle name="Student Information 123 5" xfId="2299"/>
    <cellStyle name="Student Information 124" xfId="227"/>
    <cellStyle name="Student Information 124 2" xfId="228"/>
    <cellStyle name="Student Information 124 2 2" xfId="2304"/>
    <cellStyle name="Student Information 124 3" xfId="229"/>
    <cellStyle name="Student Information 124 3 2" xfId="2305"/>
    <cellStyle name="Student Information 124 4" xfId="230"/>
    <cellStyle name="Student Information 124 4 2" xfId="2306"/>
    <cellStyle name="Student Information 124 5" xfId="2303"/>
    <cellStyle name="Student Information 125" xfId="231"/>
    <cellStyle name="Student Information 125 2" xfId="232"/>
    <cellStyle name="Student Information 125 2 2" xfId="2308"/>
    <cellStyle name="Student Information 125 3" xfId="233"/>
    <cellStyle name="Student Information 125 3 2" xfId="2309"/>
    <cellStyle name="Student Information 125 4" xfId="2307"/>
    <cellStyle name="Student Information 126" xfId="234"/>
    <cellStyle name="Student Information 126 2" xfId="235"/>
    <cellStyle name="Student Information 126 2 2" xfId="2311"/>
    <cellStyle name="Student Information 126 3" xfId="236"/>
    <cellStyle name="Student Information 126 3 2" xfId="2312"/>
    <cellStyle name="Student Information 126 4" xfId="2310"/>
    <cellStyle name="Student Information 127" xfId="237"/>
    <cellStyle name="Student Information 127 2" xfId="238"/>
    <cellStyle name="Student Information 127 2 2" xfId="2314"/>
    <cellStyle name="Student Information 127 3" xfId="239"/>
    <cellStyle name="Student Information 127 3 2" xfId="2315"/>
    <cellStyle name="Student Information 127 4" xfId="2313"/>
    <cellStyle name="Student Information 128" xfId="240"/>
    <cellStyle name="Student Information 128 2" xfId="241"/>
    <cellStyle name="Student Information 128 2 2" xfId="2317"/>
    <cellStyle name="Student Information 128 3" xfId="242"/>
    <cellStyle name="Student Information 128 3 2" xfId="2318"/>
    <cellStyle name="Student Information 128 4" xfId="2316"/>
    <cellStyle name="Student Information 129" xfId="243"/>
    <cellStyle name="Student Information 129 2" xfId="244"/>
    <cellStyle name="Student Information 129 2 2" xfId="2320"/>
    <cellStyle name="Student Information 129 3" xfId="245"/>
    <cellStyle name="Student Information 129 3 2" xfId="2321"/>
    <cellStyle name="Student Information 129 4" xfId="2319"/>
    <cellStyle name="Student Information 13" xfId="246"/>
    <cellStyle name="Student Information 13 2" xfId="247"/>
    <cellStyle name="Student Information 13 2 2" xfId="248"/>
    <cellStyle name="Student Information 13 2 2 2" xfId="249"/>
    <cellStyle name="Student Information 13 2 2 2 2" xfId="2325"/>
    <cellStyle name="Student Information 13 2 2 3" xfId="250"/>
    <cellStyle name="Student Information 13 2 2 3 2" xfId="2326"/>
    <cellStyle name="Student Information 13 2 2 4" xfId="2324"/>
    <cellStyle name="Student Information 13 2 3" xfId="251"/>
    <cellStyle name="Student Information 13 2 3 2" xfId="252"/>
    <cellStyle name="Student Information 13 2 3 2 2" xfId="2328"/>
    <cellStyle name="Student Information 13 2 3 3" xfId="253"/>
    <cellStyle name="Student Information 13 2 3 3 2" xfId="2329"/>
    <cellStyle name="Student Information 13 2 3 4" xfId="2327"/>
    <cellStyle name="Student Information 13 2 4" xfId="254"/>
    <cellStyle name="Student Information 13 2 4 2" xfId="255"/>
    <cellStyle name="Student Information 13 2 4 2 2" xfId="2331"/>
    <cellStyle name="Student Information 13 2 4 3" xfId="256"/>
    <cellStyle name="Student Information 13 2 4 3 2" xfId="2332"/>
    <cellStyle name="Student Information 13 2 4 4" xfId="2330"/>
    <cellStyle name="Student Information 13 2 5" xfId="257"/>
    <cellStyle name="Student Information 13 2 5 2" xfId="258"/>
    <cellStyle name="Student Information 13 2 5 2 2" xfId="2334"/>
    <cellStyle name="Student Information 13 2 5 3" xfId="259"/>
    <cellStyle name="Student Information 13 2 5 3 2" xfId="2335"/>
    <cellStyle name="Student Information 13 2 5 4" xfId="2333"/>
    <cellStyle name="Student Information 13 2 6" xfId="2323"/>
    <cellStyle name="Student Information 13 3" xfId="260"/>
    <cellStyle name="Student Information 13 3 2" xfId="261"/>
    <cellStyle name="Student Information 13 3 2 2" xfId="262"/>
    <cellStyle name="Student Information 13 3 2 2 2" xfId="2338"/>
    <cellStyle name="Student Information 13 3 2 3" xfId="263"/>
    <cellStyle name="Student Information 13 3 2 3 2" xfId="2339"/>
    <cellStyle name="Student Information 13 3 2 4" xfId="2337"/>
    <cellStyle name="Student Information 13 3 3" xfId="264"/>
    <cellStyle name="Student Information 13 3 3 2" xfId="265"/>
    <cellStyle name="Student Information 13 3 3 2 2" xfId="2341"/>
    <cellStyle name="Student Information 13 3 3 3" xfId="266"/>
    <cellStyle name="Student Information 13 3 3 3 2" xfId="2342"/>
    <cellStyle name="Student Information 13 3 3 4" xfId="267"/>
    <cellStyle name="Student Information 13 3 3 4 2" xfId="2343"/>
    <cellStyle name="Student Information 13 3 3 5" xfId="2340"/>
    <cellStyle name="Student Information 13 3 4" xfId="268"/>
    <cellStyle name="Student Information 13 3 4 2" xfId="269"/>
    <cellStyle name="Student Information 13 3 4 2 2" xfId="2345"/>
    <cellStyle name="Student Information 13 3 4 3" xfId="270"/>
    <cellStyle name="Student Information 13 3 4 3 2" xfId="2346"/>
    <cellStyle name="Student Information 13 3 4 4" xfId="2344"/>
    <cellStyle name="Student Information 13 3 5" xfId="271"/>
    <cellStyle name="Student Information 13 3 5 2" xfId="272"/>
    <cellStyle name="Student Information 13 3 5 2 2" xfId="2348"/>
    <cellStyle name="Student Information 13 3 5 3" xfId="273"/>
    <cellStyle name="Student Information 13 3 5 3 2" xfId="2349"/>
    <cellStyle name="Student Information 13 3 5 4" xfId="2347"/>
    <cellStyle name="Student Information 13 3 6" xfId="2336"/>
    <cellStyle name="Student Information 13 4" xfId="274"/>
    <cellStyle name="Student Information 13 4 2" xfId="275"/>
    <cellStyle name="Student Information 13 4 2 2" xfId="2351"/>
    <cellStyle name="Student Information 13 4 3" xfId="276"/>
    <cellStyle name="Student Information 13 4 3 2" xfId="2352"/>
    <cellStyle name="Student Information 13 4 4" xfId="2350"/>
    <cellStyle name="Student Information 13 5" xfId="277"/>
    <cellStyle name="Student Information 13 5 2" xfId="278"/>
    <cellStyle name="Student Information 13 5 2 2" xfId="2354"/>
    <cellStyle name="Student Information 13 5 3" xfId="279"/>
    <cellStyle name="Student Information 13 5 3 2" xfId="2355"/>
    <cellStyle name="Student Information 13 5 4" xfId="280"/>
    <cellStyle name="Student Information 13 5 4 2" xfId="2356"/>
    <cellStyle name="Student Information 13 5 5" xfId="2353"/>
    <cellStyle name="Student Information 13 6" xfId="281"/>
    <cellStyle name="Student Information 13 6 2" xfId="282"/>
    <cellStyle name="Student Information 13 6 2 2" xfId="2358"/>
    <cellStyle name="Student Information 13 6 3" xfId="283"/>
    <cellStyle name="Student Information 13 6 3 2" xfId="2359"/>
    <cellStyle name="Student Information 13 6 4" xfId="2357"/>
    <cellStyle name="Student Information 13 7" xfId="284"/>
    <cellStyle name="Student Information 13 7 2" xfId="285"/>
    <cellStyle name="Student Information 13 7 2 2" xfId="2361"/>
    <cellStyle name="Student Information 13 7 3" xfId="286"/>
    <cellStyle name="Student Information 13 7 3 2" xfId="2362"/>
    <cellStyle name="Student Information 13 7 4" xfId="2360"/>
    <cellStyle name="Student Information 13 8" xfId="2322"/>
    <cellStyle name="Student Information 130" xfId="287"/>
    <cellStyle name="Student Information 130 2" xfId="288"/>
    <cellStyle name="Student Information 130 2 2" xfId="2364"/>
    <cellStyle name="Student Information 130 3" xfId="289"/>
    <cellStyle name="Student Information 130 3 2" xfId="2365"/>
    <cellStyle name="Student Information 130 4" xfId="2363"/>
    <cellStyle name="Student Information 131" xfId="290"/>
    <cellStyle name="Student Information 131 2" xfId="291"/>
    <cellStyle name="Student Information 131 2 2" xfId="2367"/>
    <cellStyle name="Student Information 131 3" xfId="292"/>
    <cellStyle name="Student Information 131 3 2" xfId="2368"/>
    <cellStyle name="Student Information 131 4" xfId="2366"/>
    <cellStyle name="Student Information 132" xfId="293"/>
    <cellStyle name="Student Information 132 2" xfId="294"/>
    <cellStyle name="Student Information 132 2 2" xfId="2370"/>
    <cellStyle name="Student Information 132 3" xfId="295"/>
    <cellStyle name="Student Information 132 3 2" xfId="2371"/>
    <cellStyle name="Student Information 132 4" xfId="2369"/>
    <cellStyle name="Student Information 133" xfId="296"/>
    <cellStyle name="Student Information 133 2" xfId="297"/>
    <cellStyle name="Student Information 133 2 2" xfId="2373"/>
    <cellStyle name="Student Information 133 3" xfId="298"/>
    <cellStyle name="Student Information 133 3 2" xfId="2374"/>
    <cellStyle name="Student Information 133 4" xfId="2372"/>
    <cellStyle name="Student Information 134" xfId="299"/>
    <cellStyle name="Student Information 134 2" xfId="300"/>
    <cellStyle name="Student Information 134 2 2" xfId="2376"/>
    <cellStyle name="Student Information 134 3" xfId="301"/>
    <cellStyle name="Student Information 134 3 2" xfId="2377"/>
    <cellStyle name="Student Information 134 4" xfId="2375"/>
    <cellStyle name="Student Information 135" xfId="302"/>
    <cellStyle name="Student Information 135 2" xfId="303"/>
    <cellStyle name="Student Information 135 2 2" xfId="2379"/>
    <cellStyle name="Student Information 135 3" xfId="304"/>
    <cellStyle name="Student Information 135 3 2" xfId="2380"/>
    <cellStyle name="Student Information 135 4" xfId="2378"/>
    <cellStyle name="Student Information 136" xfId="305"/>
    <cellStyle name="Student Information 136 2" xfId="306"/>
    <cellStyle name="Student Information 136 2 2" xfId="2382"/>
    <cellStyle name="Student Information 136 3" xfId="307"/>
    <cellStyle name="Student Information 136 3 2" xfId="2383"/>
    <cellStyle name="Student Information 136 4" xfId="2381"/>
    <cellStyle name="Student Information 137" xfId="308"/>
    <cellStyle name="Student Information 137 2" xfId="309"/>
    <cellStyle name="Student Information 137 2 2" xfId="2385"/>
    <cellStyle name="Student Information 137 3" xfId="310"/>
    <cellStyle name="Student Information 137 3 2" xfId="2386"/>
    <cellStyle name="Student Information 137 4" xfId="2384"/>
    <cellStyle name="Student Information 138" xfId="311"/>
    <cellStyle name="Student Information 138 2" xfId="312"/>
    <cellStyle name="Student Information 138 2 2" xfId="2388"/>
    <cellStyle name="Student Information 138 3" xfId="313"/>
    <cellStyle name="Student Information 138 3 2" xfId="2389"/>
    <cellStyle name="Student Information 138 4" xfId="2387"/>
    <cellStyle name="Student Information 139" xfId="314"/>
    <cellStyle name="Student Information 139 2" xfId="2390"/>
    <cellStyle name="Student Information 14" xfId="315"/>
    <cellStyle name="Student Information 14 2" xfId="316"/>
    <cellStyle name="Student Information 14 2 2" xfId="317"/>
    <cellStyle name="Student Information 14 2 2 2" xfId="318"/>
    <cellStyle name="Student Information 14 2 2 2 2" xfId="2394"/>
    <cellStyle name="Student Information 14 2 2 3" xfId="319"/>
    <cellStyle name="Student Information 14 2 2 3 2" xfId="2395"/>
    <cellStyle name="Student Information 14 2 2 4" xfId="2393"/>
    <cellStyle name="Student Information 14 2 3" xfId="320"/>
    <cellStyle name="Student Information 14 2 3 2" xfId="321"/>
    <cellStyle name="Student Information 14 2 3 2 2" xfId="2397"/>
    <cellStyle name="Student Information 14 2 3 3" xfId="322"/>
    <cellStyle name="Student Information 14 2 3 3 2" xfId="2398"/>
    <cellStyle name="Student Information 14 2 3 4" xfId="2396"/>
    <cellStyle name="Student Information 14 2 4" xfId="323"/>
    <cellStyle name="Student Information 14 2 4 2" xfId="324"/>
    <cellStyle name="Student Information 14 2 4 2 2" xfId="2400"/>
    <cellStyle name="Student Information 14 2 4 3" xfId="325"/>
    <cellStyle name="Student Information 14 2 4 3 2" xfId="2401"/>
    <cellStyle name="Student Information 14 2 4 4" xfId="2399"/>
    <cellStyle name="Student Information 14 2 5" xfId="326"/>
    <cellStyle name="Student Information 14 2 5 2" xfId="327"/>
    <cellStyle name="Student Information 14 2 5 2 2" xfId="2403"/>
    <cellStyle name="Student Information 14 2 5 3" xfId="328"/>
    <cellStyle name="Student Information 14 2 5 3 2" xfId="2404"/>
    <cellStyle name="Student Information 14 2 5 4" xfId="2402"/>
    <cellStyle name="Student Information 14 2 6" xfId="2392"/>
    <cellStyle name="Student Information 14 3" xfId="329"/>
    <cellStyle name="Student Information 14 3 2" xfId="330"/>
    <cellStyle name="Student Information 14 3 2 2" xfId="331"/>
    <cellStyle name="Student Information 14 3 2 2 2" xfId="2407"/>
    <cellStyle name="Student Information 14 3 2 3" xfId="332"/>
    <cellStyle name="Student Information 14 3 2 3 2" xfId="2408"/>
    <cellStyle name="Student Information 14 3 2 4" xfId="2406"/>
    <cellStyle name="Student Information 14 3 3" xfId="333"/>
    <cellStyle name="Student Information 14 3 3 2" xfId="334"/>
    <cellStyle name="Student Information 14 3 3 2 2" xfId="2410"/>
    <cellStyle name="Student Information 14 3 3 3" xfId="335"/>
    <cellStyle name="Student Information 14 3 3 3 2" xfId="2411"/>
    <cellStyle name="Student Information 14 3 3 4" xfId="336"/>
    <cellStyle name="Student Information 14 3 3 4 2" xfId="2412"/>
    <cellStyle name="Student Information 14 3 3 5" xfId="2409"/>
    <cellStyle name="Student Information 14 3 4" xfId="337"/>
    <cellStyle name="Student Information 14 3 4 2" xfId="338"/>
    <cellStyle name="Student Information 14 3 4 2 2" xfId="2414"/>
    <cellStyle name="Student Information 14 3 4 3" xfId="339"/>
    <cellStyle name="Student Information 14 3 4 3 2" xfId="2415"/>
    <cellStyle name="Student Information 14 3 4 4" xfId="2413"/>
    <cellStyle name="Student Information 14 3 5" xfId="340"/>
    <cellStyle name="Student Information 14 3 5 2" xfId="341"/>
    <cellStyle name="Student Information 14 3 5 2 2" xfId="2417"/>
    <cellStyle name="Student Information 14 3 5 3" xfId="342"/>
    <cellStyle name="Student Information 14 3 5 3 2" xfId="2418"/>
    <cellStyle name="Student Information 14 3 5 4" xfId="2416"/>
    <cellStyle name="Student Information 14 3 6" xfId="2405"/>
    <cellStyle name="Student Information 14 4" xfId="343"/>
    <cellStyle name="Student Information 14 4 2" xfId="344"/>
    <cellStyle name="Student Information 14 4 2 2" xfId="2420"/>
    <cellStyle name="Student Information 14 4 3" xfId="345"/>
    <cellStyle name="Student Information 14 4 3 2" xfId="2421"/>
    <cellStyle name="Student Information 14 4 4" xfId="2419"/>
    <cellStyle name="Student Information 14 5" xfId="346"/>
    <cellStyle name="Student Information 14 5 2" xfId="347"/>
    <cellStyle name="Student Information 14 5 2 2" xfId="2423"/>
    <cellStyle name="Student Information 14 5 3" xfId="348"/>
    <cellStyle name="Student Information 14 5 3 2" xfId="2424"/>
    <cellStyle name="Student Information 14 5 4" xfId="349"/>
    <cellStyle name="Student Information 14 5 4 2" xfId="2425"/>
    <cellStyle name="Student Information 14 5 5" xfId="2422"/>
    <cellStyle name="Student Information 14 6" xfId="350"/>
    <cellStyle name="Student Information 14 6 2" xfId="351"/>
    <cellStyle name="Student Information 14 6 2 2" xfId="2427"/>
    <cellStyle name="Student Information 14 6 3" xfId="352"/>
    <cellStyle name="Student Information 14 6 3 2" xfId="2428"/>
    <cellStyle name="Student Information 14 6 4" xfId="2426"/>
    <cellStyle name="Student Information 14 7" xfId="353"/>
    <cellStyle name="Student Information 14 7 2" xfId="354"/>
    <cellStyle name="Student Information 14 7 2 2" xfId="2430"/>
    <cellStyle name="Student Information 14 7 3" xfId="355"/>
    <cellStyle name="Student Information 14 7 3 2" xfId="2431"/>
    <cellStyle name="Student Information 14 7 4" xfId="2429"/>
    <cellStyle name="Student Information 14 8" xfId="2391"/>
    <cellStyle name="Student Information 140" xfId="356"/>
    <cellStyle name="Student Information 140 2" xfId="2432"/>
    <cellStyle name="Student Information 141" xfId="357"/>
    <cellStyle name="Student Information 141 2" xfId="2433"/>
    <cellStyle name="Student Information 142" xfId="358"/>
    <cellStyle name="Student Information 142 2" xfId="2434"/>
    <cellStyle name="Student Information 143" xfId="359"/>
    <cellStyle name="Student Information 143 2" xfId="2435"/>
    <cellStyle name="Student Information 144" xfId="360"/>
    <cellStyle name="Student Information 144 2" xfId="2436"/>
    <cellStyle name="Student Information 145" xfId="361"/>
    <cellStyle name="Student Information 145 2" xfId="2437"/>
    <cellStyle name="Student Information 146" xfId="362"/>
    <cellStyle name="Student Information 146 2" xfId="2438"/>
    <cellStyle name="Student Information 147" xfId="363"/>
    <cellStyle name="Student Information 147 2" xfId="2439"/>
    <cellStyle name="Student Information 148" xfId="364"/>
    <cellStyle name="Student Information 148 2" xfId="2440"/>
    <cellStyle name="Student Information 149" xfId="365"/>
    <cellStyle name="Student Information 149 2" xfId="2441"/>
    <cellStyle name="Student Information 15" xfId="366"/>
    <cellStyle name="Student Information 15 2" xfId="367"/>
    <cellStyle name="Student Information 15 2 2" xfId="368"/>
    <cellStyle name="Student Information 15 2 2 2" xfId="369"/>
    <cellStyle name="Student Information 15 2 2 2 2" xfId="2445"/>
    <cellStyle name="Student Information 15 2 2 3" xfId="370"/>
    <cellStyle name="Student Information 15 2 2 3 2" xfId="2446"/>
    <cellStyle name="Student Information 15 2 2 4" xfId="2444"/>
    <cellStyle name="Student Information 15 2 3" xfId="371"/>
    <cellStyle name="Student Information 15 2 3 2" xfId="372"/>
    <cellStyle name="Student Information 15 2 3 2 2" xfId="2448"/>
    <cellStyle name="Student Information 15 2 3 3" xfId="373"/>
    <cellStyle name="Student Information 15 2 3 3 2" xfId="2449"/>
    <cellStyle name="Student Information 15 2 3 4" xfId="2447"/>
    <cellStyle name="Student Information 15 2 4" xfId="374"/>
    <cellStyle name="Student Information 15 2 4 2" xfId="375"/>
    <cellStyle name="Student Information 15 2 4 2 2" xfId="2451"/>
    <cellStyle name="Student Information 15 2 4 3" xfId="376"/>
    <cellStyle name="Student Information 15 2 4 3 2" xfId="2452"/>
    <cellStyle name="Student Information 15 2 4 4" xfId="2450"/>
    <cellStyle name="Student Information 15 2 5" xfId="377"/>
    <cellStyle name="Student Information 15 2 5 2" xfId="378"/>
    <cellStyle name="Student Information 15 2 5 2 2" xfId="2454"/>
    <cellStyle name="Student Information 15 2 5 3" xfId="379"/>
    <cellStyle name="Student Information 15 2 5 3 2" xfId="2455"/>
    <cellStyle name="Student Information 15 2 5 4" xfId="2453"/>
    <cellStyle name="Student Information 15 2 6" xfId="2443"/>
    <cellStyle name="Student Information 15 3" xfId="380"/>
    <cellStyle name="Student Information 15 3 2" xfId="381"/>
    <cellStyle name="Student Information 15 3 2 2" xfId="382"/>
    <cellStyle name="Student Information 15 3 2 2 2" xfId="2458"/>
    <cellStyle name="Student Information 15 3 2 3" xfId="383"/>
    <cellStyle name="Student Information 15 3 2 3 2" xfId="2459"/>
    <cellStyle name="Student Information 15 3 2 4" xfId="2457"/>
    <cellStyle name="Student Information 15 3 3" xfId="384"/>
    <cellStyle name="Student Information 15 3 3 2" xfId="385"/>
    <cellStyle name="Student Information 15 3 3 2 2" xfId="2461"/>
    <cellStyle name="Student Information 15 3 3 3" xfId="386"/>
    <cellStyle name="Student Information 15 3 3 3 2" xfId="2462"/>
    <cellStyle name="Student Information 15 3 3 4" xfId="387"/>
    <cellStyle name="Student Information 15 3 3 4 2" xfId="2463"/>
    <cellStyle name="Student Information 15 3 3 5" xfId="2460"/>
    <cellStyle name="Student Information 15 3 4" xfId="388"/>
    <cellStyle name="Student Information 15 3 4 2" xfId="389"/>
    <cellStyle name="Student Information 15 3 4 2 2" xfId="2465"/>
    <cellStyle name="Student Information 15 3 4 3" xfId="390"/>
    <cellStyle name="Student Information 15 3 4 3 2" xfId="2466"/>
    <cellStyle name="Student Information 15 3 4 4" xfId="2464"/>
    <cellStyle name="Student Information 15 3 5" xfId="391"/>
    <cellStyle name="Student Information 15 3 5 2" xfId="392"/>
    <cellStyle name="Student Information 15 3 5 2 2" xfId="2468"/>
    <cellStyle name="Student Information 15 3 5 3" xfId="393"/>
    <cellStyle name="Student Information 15 3 5 3 2" xfId="2469"/>
    <cellStyle name="Student Information 15 3 5 4" xfId="2467"/>
    <cellStyle name="Student Information 15 3 6" xfId="2456"/>
    <cellStyle name="Student Information 15 4" xfId="394"/>
    <cellStyle name="Student Information 15 4 2" xfId="395"/>
    <cellStyle name="Student Information 15 4 2 2" xfId="2471"/>
    <cellStyle name="Student Information 15 4 3" xfId="396"/>
    <cellStyle name="Student Information 15 4 3 2" xfId="2472"/>
    <cellStyle name="Student Information 15 4 4" xfId="2470"/>
    <cellStyle name="Student Information 15 5" xfId="397"/>
    <cellStyle name="Student Information 15 5 2" xfId="398"/>
    <cellStyle name="Student Information 15 5 2 2" xfId="2474"/>
    <cellStyle name="Student Information 15 5 3" xfId="399"/>
    <cellStyle name="Student Information 15 5 3 2" xfId="2475"/>
    <cellStyle name="Student Information 15 5 4" xfId="400"/>
    <cellStyle name="Student Information 15 5 4 2" xfId="2476"/>
    <cellStyle name="Student Information 15 5 5" xfId="2473"/>
    <cellStyle name="Student Information 15 6" xfId="401"/>
    <cellStyle name="Student Information 15 6 2" xfId="402"/>
    <cellStyle name="Student Information 15 6 2 2" xfId="2478"/>
    <cellStyle name="Student Information 15 6 3" xfId="403"/>
    <cellStyle name="Student Information 15 6 3 2" xfId="2479"/>
    <cellStyle name="Student Information 15 6 4" xfId="2477"/>
    <cellStyle name="Student Information 15 7" xfId="404"/>
    <cellStyle name="Student Information 15 7 2" xfId="405"/>
    <cellStyle name="Student Information 15 7 2 2" xfId="2481"/>
    <cellStyle name="Student Information 15 7 3" xfId="406"/>
    <cellStyle name="Student Information 15 7 3 2" xfId="2482"/>
    <cellStyle name="Student Information 15 7 4" xfId="2480"/>
    <cellStyle name="Student Information 15 8" xfId="2442"/>
    <cellStyle name="Student Information 150" xfId="407"/>
    <cellStyle name="Student Information 150 2" xfId="2483"/>
    <cellStyle name="Student Information 151" xfId="15"/>
    <cellStyle name="Student Information 151 2" xfId="18"/>
    <cellStyle name="Student Information 151 2 2" xfId="2485"/>
    <cellStyle name="Student Information 151 3" xfId="2484"/>
    <cellStyle name="Student Information 152" xfId="2099"/>
    <cellStyle name="Student Information 153" xfId="4108"/>
    <cellStyle name="Student Information 16" xfId="408"/>
    <cellStyle name="Student Information 16 2" xfId="409"/>
    <cellStyle name="Student Information 16 2 2" xfId="410"/>
    <cellStyle name="Student Information 16 2 2 2" xfId="411"/>
    <cellStyle name="Student Information 16 2 2 2 2" xfId="2489"/>
    <cellStyle name="Student Information 16 2 2 3" xfId="412"/>
    <cellStyle name="Student Information 16 2 2 3 2" xfId="2490"/>
    <cellStyle name="Student Information 16 2 2 4" xfId="2488"/>
    <cellStyle name="Student Information 16 2 3" xfId="413"/>
    <cellStyle name="Student Information 16 2 3 2" xfId="414"/>
    <cellStyle name="Student Information 16 2 3 2 2" xfId="2492"/>
    <cellStyle name="Student Information 16 2 3 3" xfId="415"/>
    <cellStyle name="Student Information 16 2 3 3 2" xfId="2493"/>
    <cellStyle name="Student Information 16 2 3 4" xfId="2491"/>
    <cellStyle name="Student Information 16 2 4" xfId="416"/>
    <cellStyle name="Student Information 16 2 4 2" xfId="417"/>
    <cellStyle name="Student Information 16 2 4 2 2" xfId="2495"/>
    <cellStyle name="Student Information 16 2 4 3" xfId="418"/>
    <cellStyle name="Student Information 16 2 4 3 2" xfId="2496"/>
    <cellStyle name="Student Information 16 2 4 4" xfId="2494"/>
    <cellStyle name="Student Information 16 2 5" xfId="419"/>
    <cellStyle name="Student Information 16 2 5 2" xfId="420"/>
    <cellStyle name="Student Information 16 2 5 2 2" xfId="2498"/>
    <cellStyle name="Student Information 16 2 5 3" xfId="421"/>
    <cellStyle name="Student Information 16 2 5 3 2" xfId="2499"/>
    <cellStyle name="Student Information 16 2 5 4" xfId="2497"/>
    <cellStyle name="Student Information 16 2 6" xfId="2487"/>
    <cellStyle name="Student Information 16 3" xfId="422"/>
    <cellStyle name="Student Information 16 3 2" xfId="423"/>
    <cellStyle name="Student Information 16 3 2 2" xfId="424"/>
    <cellStyle name="Student Information 16 3 2 2 2" xfId="2502"/>
    <cellStyle name="Student Information 16 3 2 3" xfId="425"/>
    <cellStyle name="Student Information 16 3 2 3 2" xfId="2503"/>
    <cellStyle name="Student Information 16 3 2 4" xfId="2501"/>
    <cellStyle name="Student Information 16 3 3" xfId="426"/>
    <cellStyle name="Student Information 16 3 3 2" xfId="427"/>
    <cellStyle name="Student Information 16 3 3 2 2" xfId="2505"/>
    <cellStyle name="Student Information 16 3 3 3" xfId="428"/>
    <cellStyle name="Student Information 16 3 3 3 2" xfId="2506"/>
    <cellStyle name="Student Information 16 3 3 4" xfId="429"/>
    <cellStyle name="Student Information 16 3 3 4 2" xfId="2507"/>
    <cellStyle name="Student Information 16 3 3 5" xfId="2504"/>
    <cellStyle name="Student Information 16 3 4" xfId="430"/>
    <cellStyle name="Student Information 16 3 4 2" xfId="431"/>
    <cellStyle name="Student Information 16 3 4 2 2" xfId="2509"/>
    <cellStyle name="Student Information 16 3 4 3" xfId="432"/>
    <cellStyle name="Student Information 16 3 4 3 2" xfId="2510"/>
    <cellStyle name="Student Information 16 3 4 4" xfId="2508"/>
    <cellStyle name="Student Information 16 3 5" xfId="433"/>
    <cellStyle name="Student Information 16 3 5 2" xfId="434"/>
    <cellStyle name="Student Information 16 3 5 2 2" xfId="2512"/>
    <cellStyle name="Student Information 16 3 5 3" xfId="435"/>
    <cellStyle name="Student Information 16 3 5 3 2" xfId="2513"/>
    <cellStyle name="Student Information 16 3 5 4" xfId="2511"/>
    <cellStyle name="Student Information 16 3 6" xfId="2500"/>
    <cellStyle name="Student Information 16 4" xfId="436"/>
    <cellStyle name="Student Information 16 4 2" xfId="437"/>
    <cellStyle name="Student Information 16 4 2 2" xfId="2515"/>
    <cellStyle name="Student Information 16 4 3" xfId="438"/>
    <cellStyle name="Student Information 16 4 3 2" xfId="2516"/>
    <cellStyle name="Student Information 16 4 4" xfId="2514"/>
    <cellStyle name="Student Information 16 5" xfId="439"/>
    <cellStyle name="Student Information 16 5 2" xfId="440"/>
    <cellStyle name="Student Information 16 5 2 2" xfId="2518"/>
    <cellStyle name="Student Information 16 5 3" xfId="441"/>
    <cellStyle name="Student Information 16 5 3 2" xfId="2519"/>
    <cellStyle name="Student Information 16 5 4" xfId="442"/>
    <cellStyle name="Student Information 16 5 4 2" xfId="2520"/>
    <cellStyle name="Student Information 16 5 5" xfId="2517"/>
    <cellStyle name="Student Information 16 6" xfId="443"/>
    <cellStyle name="Student Information 16 6 2" xfId="444"/>
    <cellStyle name="Student Information 16 6 2 2" xfId="2522"/>
    <cellStyle name="Student Information 16 6 3" xfId="445"/>
    <cellStyle name="Student Information 16 6 3 2" xfId="2523"/>
    <cellStyle name="Student Information 16 6 4" xfId="2521"/>
    <cellStyle name="Student Information 16 7" xfId="446"/>
    <cellStyle name="Student Information 16 7 2" xfId="447"/>
    <cellStyle name="Student Information 16 7 2 2" xfId="2525"/>
    <cellStyle name="Student Information 16 7 3" xfId="448"/>
    <cellStyle name="Student Information 16 7 3 2" xfId="2526"/>
    <cellStyle name="Student Information 16 7 4" xfId="2524"/>
    <cellStyle name="Student Information 16 8" xfId="2486"/>
    <cellStyle name="Student Information 17" xfId="449"/>
    <cellStyle name="Student Information 17 2" xfId="450"/>
    <cellStyle name="Student Information 17 2 2" xfId="451"/>
    <cellStyle name="Student Information 17 2 2 2" xfId="452"/>
    <cellStyle name="Student Information 17 2 2 2 2" xfId="2530"/>
    <cellStyle name="Student Information 17 2 2 3" xfId="2529"/>
    <cellStyle name="Student Information 17 2 3" xfId="453"/>
    <cellStyle name="Student Information 17 2 3 2" xfId="454"/>
    <cellStyle name="Student Information 17 2 3 2 2" xfId="2532"/>
    <cellStyle name="Student Information 17 2 3 3" xfId="2531"/>
    <cellStyle name="Student Information 17 2 4" xfId="2528"/>
    <cellStyle name="Student Information 17 3" xfId="455"/>
    <cellStyle name="Student Information 17 3 2" xfId="456"/>
    <cellStyle name="Student Information 17 3 2 2" xfId="2534"/>
    <cellStyle name="Student Information 17 3 3" xfId="457"/>
    <cellStyle name="Student Information 17 3 3 2" xfId="2535"/>
    <cellStyle name="Student Information 17 3 4" xfId="2533"/>
    <cellStyle name="Student Information 17 4" xfId="458"/>
    <cellStyle name="Student Information 17 4 2" xfId="459"/>
    <cellStyle name="Student Information 17 4 2 2" xfId="2537"/>
    <cellStyle name="Student Information 17 4 3" xfId="460"/>
    <cellStyle name="Student Information 17 4 3 2" xfId="2538"/>
    <cellStyle name="Student Information 17 4 4" xfId="2536"/>
    <cellStyle name="Student Information 17 5" xfId="461"/>
    <cellStyle name="Student Information 17 5 2" xfId="462"/>
    <cellStyle name="Student Information 17 5 2 2" xfId="2540"/>
    <cellStyle name="Student Information 17 5 3" xfId="463"/>
    <cellStyle name="Student Information 17 5 3 2" xfId="2541"/>
    <cellStyle name="Student Information 17 5 4" xfId="2539"/>
    <cellStyle name="Student Information 17 6" xfId="464"/>
    <cellStyle name="Student Information 17 6 2" xfId="465"/>
    <cellStyle name="Student Information 17 6 2 2" xfId="2543"/>
    <cellStyle name="Student Information 17 6 3" xfId="466"/>
    <cellStyle name="Student Information 17 6 3 2" xfId="2544"/>
    <cellStyle name="Student Information 17 6 4" xfId="2542"/>
    <cellStyle name="Student Information 17 7" xfId="2527"/>
    <cellStyle name="Student Information 18" xfId="467"/>
    <cellStyle name="Student Information 18 2" xfId="468"/>
    <cellStyle name="Student Information 18 2 2" xfId="469"/>
    <cellStyle name="Student Information 18 2 2 2" xfId="470"/>
    <cellStyle name="Student Information 18 2 2 2 2" xfId="2548"/>
    <cellStyle name="Student Information 18 2 2 3" xfId="2547"/>
    <cellStyle name="Student Information 18 2 3" xfId="471"/>
    <cellStyle name="Student Information 18 2 3 2" xfId="472"/>
    <cellStyle name="Student Information 18 2 3 2 2" xfId="2550"/>
    <cellStyle name="Student Information 18 2 3 3" xfId="2549"/>
    <cellStyle name="Student Information 18 2 4" xfId="2546"/>
    <cellStyle name="Student Information 18 3" xfId="473"/>
    <cellStyle name="Student Information 18 3 2" xfId="474"/>
    <cellStyle name="Student Information 18 3 2 2" xfId="2552"/>
    <cellStyle name="Student Information 18 3 3" xfId="475"/>
    <cellStyle name="Student Information 18 3 3 2" xfId="2553"/>
    <cellStyle name="Student Information 18 3 4" xfId="2551"/>
    <cellStyle name="Student Information 18 4" xfId="476"/>
    <cellStyle name="Student Information 18 4 2" xfId="477"/>
    <cellStyle name="Student Information 18 4 2 2" xfId="2555"/>
    <cellStyle name="Student Information 18 4 3" xfId="478"/>
    <cellStyle name="Student Information 18 4 3 2" xfId="2556"/>
    <cellStyle name="Student Information 18 4 4" xfId="2554"/>
    <cellStyle name="Student Information 18 5" xfId="479"/>
    <cellStyle name="Student Information 18 5 2" xfId="480"/>
    <cellStyle name="Student Information 18 5 2 2" xfId="2558"/>
    <cellStyle name="Student Information 18 5 3" xfId="481"/>
    <cellStyle name="Student Information 18 5 3 2" xfId="2559"/>
    <cellStyle name="Student Information 18 5 4" xfId="2557"/>
    <cellStyle name="Student Information 18 6" xfId="482"/>
    <cellStyle name="Student Information 18 6 2" xfId="483"/>
    <cellStyle name="Student Information 18 6 2 2" xfId="2561"/>
    <cellStyle name="Student Information 18 6 3" xfId="484"/>
    <cellStyle name="Student Information 18 6 3 2" xfId="2562"/>
    <cellStyle name="Student Information 18 6 4" xfId="2560"/>
    <cellStyle name="Student Information 18 7" xfId="2545"/>
    <cellStyle name="Student Information 19" xfId="485"/>
    <cellStyle name="Student Information 19 2" xfId="486"/>
    <cellStyle name="Student Information 19 2 2" xfId="487"/>
    <cellStyle name="Student Information 19 2 2 2" xfId="488"/>
    <cellStyle name="Student Information 19 2 2 2 2" xfId="2566"/>
    <cellStyle name="Student Information 19 2 2 3" xfId="2565"/>
    <cellStyle name="Student Information 19 2 3" xfId="489"/>
    <cellStyle name="Student Information 19 2 3 2" xfId="490"/>
    <cellStyle name="Student Information 19 2 3 2 2" xfId="2568"/>
    <cellStyle name="Student Information 19 2 3 3" xfId="2567"/>
    <cellStyle name="Student Information 19 2 4" xfId="2564"/>
    <cellStyle name="Student Information 19 3" xfId="491"/>
    <cellStyle name="Student Information 19 3 2" xfId="492"/>
    <cellStyle name="Student Information 19 3 2 2" xfId="2570"/>
    <cellStyle name="Student Information 19 3 3" xfId="493"/>
    <cellStyle name="Student Information 19 3 3 2" xfId="2571"/>
    <cellStyle name="Student Information 19 3 4" xfId="2569"/>
    <cellStyle name="Student Information 19 4" xfId="494"/>
    <cellStyle name="Student Information 19 4 2" xfId="495"/>
    <cellStyle name="Student Information 19 4 2 2" xfId="2573"/>
    <cellStyle name="Student Information 19 4 3" xfId="496"/>
    <cellStyle name="Student Information 19 4 3 2" xfId="2574"/>
    <cellStyle name="Student Information 19 4 4" xfId="2572"/>
    <cellStyle name="Student Information 19 5" xfId="497"/>
    <cellStyle name="Student Information 19 5 2" xfId="498"/>
    <cellStyle name="Student Information 19 5 2 2" xfId="2576"/>
    <cellStyle name="Student Information 19 5 3" xfId="499"/>
    <cellStyle name="Student Information 19 5 3 2" xfId="2577"/>
    <cellStyle name="Student Information 19 5 4" xfId="2575"/>
    <cellStyle name="Student Information 19 6" xfId="500"/>
    <cellStyle name="Student Information 19 6 2" xfId="501"/>
    <cellStyle name="Student Information 19 6 2 2" xfId="2579"/>
    <cellStyle name="Student Information 19 6 3" xfId="502"/>
    <cellStyle name="Student Information 19 6 3 2" xfId="2580"/>
    <cellStyle name="Student Information 19 6 4" xfId="2578"/>
    <cellStyle name="Student Information 19 7" xfId="2563"/>
    <cellStyle name="Student Information 2" xfId="503"/>
    <cellStyle name="Student Information 2 2" xfId="504"/>
    <cellStyle name="Student Information 2 2 2" xfId="505"/>
    <cellStyle name="Student Information 2 2 2 2" xfId="506"/>
    <cellStyle name="Student Information 2 2 2 2 2" xfId="2584"/>
    <cellStyle name="Student Information 2 2 2 3" xfId="2583"/>
    <cellStyle name="Student Information 2 2 3" xfId="507"/>
    <cellStyle name="Student Information 2 2 3 2" xfId="508"/>
    <cellStyle name="Student Information 2 2 3 2 2" xfId="2586"/>
    <cellStyle name="Student Information 2 2 3 3" xfId="2585"/>
    <cellStyle name="Student Information 2 2 4" xfId="2582"/>
    <cellStyle name="Student Information 2 3" xfId="509"/>
    <cellStyle name="Student Information 2 3 2" xfId="510"/>
    <cellStyle name="Student Information 2 3 2 2" xfId="2588"/>
    <cellStyle name="Student Information 2 3 3" xfId="511"/>
    <cellStyle name="Student Information 2 3 3 2" xfId="2589"/>
    <cellStyle name="Student Information 2 3 4" xfId="2587"/>
    <cellStyle name="Student Information 2 4" xfId="512"/>
    <cellStyle name="Student Information 2 4 2" xfId="513"/>
    <cellStyle name="Student Information 2 4 2 2" xfId="2591"/>
    <cellStyle name="Student Information 2 4 3" xfId="514"/>
    <cellStyle name="Student Information 2 4 3 2" xfId="2592"/>
    <cellStyle name="Student Information 2 4 4" xfId="2590"/>
    <cellStyle name="Student Information 2 5" xfId="515"/>
    <cellStyle name="Student Information 2 5 2" xfId="516"/>
    <cellStyle name="Student Information 2 5 2 2" xfId="2594"/>
    <cellStyle name="Student Information 2 5 3" xfId="517"/>
    <cellStyle name="Student Information 2 5 3 2" xfId="2595"/>
    <cellStyle name="Student Information 2 5 4" xfId="2593"/>
    <cellStyle name="Student Information 2 6" xfId="518"/>
    <cellStyle name="Student Information 2 6 2" xfId="519"/>
    <cellStyle name="Student Information 2 6 2 2" xfId="2597"/>
    <cellStyle name="Student Information 2 6 3" xfId="520"/>
    <cellStyle name="Student Information 2 6 3 2" xfId="2598"/>
    <cellStyle name="Student Information 2 6 4" xfId="2596"/>
    <cellStyle name="Student Information 2 7" xfId="2581"/>
    <cellStyle name="Student Information 20" xfId="521"/>
    <cellStyle name="Student Information 20 2" xfId="522"/>
    <cellStyle name="Student Information 20 2 2" xfId="523"/>
    <cellStyle name="Student Information 20 2 2 2" xfId="524"/>
    <cellStyle name="Student Information 20 2 2 2 2" xfId="2602"/>
    <cellStyle name="Student Information 20 2 2 3" xfId="2601"/>
    <cellStyle name="Student Information 20 2 3" xfId="525"/>
    <cellStyle name="Student Information 20 2 3 2" xfId="526"/>
    <cellStyle name="Student Information 20 2 3 2 2" xfId="2604"/>
    <cellStyle name="Student Information 20 2 3 3" xfId="2603"/>
    <cellStyle name="Student Information 20 2 4" xfId="2600"/>
    <cellStyle name="Student Information 20 3" xfId="527"/>
    <cellStyle name="Student Information 20 3 2" xfId="528"/>
    <cellStyle name="Student Information 20 3 2 2" xfId="2606"/>
    <cellStyle name="Student Information 20 3 3" xfId="529"/>
    <cellStyle name="Student Information 20 3 3 2" xfId="2607"/>
    <cellStyle name="Student Information 20 3 4" xfId="2605"/>
    <cellStyle name="Student Information 20 4" xfId="530"/>
    <cellStyle name="Student Information 20 4 2" xfId="531"/>
    <cellStyle name="Student Information 20 4 2 2" xfId="2609"/>
    <cellStyle name="Student Information 20 4 3" xfId="532"/>
    <cellStyle name="Student Information 20 4 3 2" xfId="2610"/>
    <cellStyle name="Student Information 20 4 4" xfId="2608"/>
    <cellStyle name="Student Information 20 5" xfId="533"/>
    <cellStyle name="Student Information 20 5 2" xfId="534"/>
    <cellStyle name="Student Information 20 5 2 2" xfId="2612"/>
    <cellStyle name="Student Information 20 5 3" xfId="535"/>
    <cellStyle name="Student Information 20 5 3 2" xfId="2613"/>
    <cellStyle name="Student Information 20 5 4" xfId="2611"/>
    <cellStyle name="Student Information 20 6" xfId="536"/>
    <cellStyle name="Student Information 20 6 2" xfId="537"/>
    <cellStyle name="Student Information 20 6 2 2" xfId="2615"/>
    <cellStyle name="Student Information 20 6 3" xfId="538"/>
    <cellStyle name="Student Information 20 6 3 2" xfId="2616"/>
    <cellStyle name="Student Information 20 6 4" xfId="2614"/>
    <cellStyle name="Student Information 20 7" xfId="2599"/>
    <cellStyle name="Student Information 21" xfId="539"/>
    <cellStyle name="Student Information 21 2" xfId="540"/>
    <cellStyle name="Student Information 21 2 2" xfId="541"/>
    <cellStyle name="Student Information 21 2 2 2" xfId="542"/>
    <cellStyle name="Student Information 21 2 2 2 2" xfId="2620"/>
    <cellStyle name="Student Information 21 2 2 3" xfId="2619"/>
    <cellStyle name="Student Information 21 2 3" xfId="543"/>
    <cellStyle name="Student Information 21 2 3 2" xfId="544"/>
    <cellStyle name="Student Information 21 2 3 2 2" xfId="2622"/>
    <cellStyle name="Student Information 21 2 3 3" xfId="2621"/>
    <cellStyle name="Student Information 21 2 4" xfId="2618"/>
    <cellStyle name="Student Information 21 3" xfId="545"/>
    <cellStyle name="Student Information 21 3 2" xfId="546"/>
    <cellStyle name="Student Information 21 3 2 2" xfId="2624"/>
    <cellStyle name="Student Information 21 3 3" xfId="547"/>
    <cellStyle name="Student Information 21 3 3 2" xfId="2625"/>
    <cellStyle name="Student Information 21 3 4" xfId="2623"/>
    <cellStyle name="Student Information 21 4" xfId="548"/>
    <cellStyle name="Student Information 21 4 2" xfId="549"/>
    <cellStyle name="Student Information 21 4 2 2" xfId="2627"/>
    <cellStyle name="Student Information 21 4 3" xfId="550"/>
    <cellStyle name="Student Information 21 4 3 2" xfId="2628"/>
    <cellStyle name="Student Information 21 4 4" xfId="2626"/>
    <cellStyle name="Student Information 21 5" xfId="551"/>
    <cellStyle name="Student Information 21 5 2" xfId="552"/>
    <cellStyle name="Student Information 21 5 2 2" xfId="2630"/>
    <cellStyle name="Student Information 21 5 3" xfId="553"/>
    <cellStyle name="Student Information 21 5 3 2" xfId="2631"/>
    <cellStyle name="Student Information 21 5 4" xfId="2629"/>
    <cellStyle name="Student Information 21 6" xfId="554"/>
    <cellStyle name="Student Information 21 6 2" xfId="555"/>
    <cellStyle name="Student Information 21 6 2 2" xfId="2633"/>
    <cellStyle name="Student Information 21 6 3" xfId="556"/>
    <cellStyle name="Student Information 21 6 3 2" xfId="2634"/>
    <cellStyle name="Student Information 21 6 4" xfId="2632"/>
    <cellStyle name="Student Information 21 7" xfId="2617"/>
    <cellStyle name="Student Information 22" xfId="557"/>
    <cellStyle name="Student Information 22 2" xfId="558"/>
    <cellStyle name="Student Information 22 2 2" xfId="559"/>
    <cellStyle name="Student Information 22 2 2 2" xfId="560"/>
    <cellStyle name="Student Information 22 2 2 2 2" xfId="2638"/>
    <cellStyle name="Student Information 22 2 2 3" xfId="2637"/>
    <cellStyle name="Student Information 22 2 3" xfId="561"/>
    <cellStyle name="Student Information 22 2 3 2" xfId="562"/>
    <cellStyle name="Student Information 22 2 3 2 2" xfId="2640"/>
    <cellStyle name="Student Information 22 2 3 3" xfId="2639"/>
    <cellStyle name="Student Information 22 2 4" xfId="2636"/>
    <cellStyle name="Student Information 22 3" xfId="563"/>
    <cellStyle name="Student Information 22 3 2" xfId="564"/>
    <cellStyle name="Student Information 22 3 2 2" xfId="2642"/>
    <cellStyle name="Student Information 22 3 3" xfId="565"/>
    <cellStyle name="Student Information 22 3 3 2" xfId="2643"/>
    <cellStyle name="Student Information 22 3 4" xfId="2641"/>
    <cellStyle name="Student Information 22 4" xfId="566"/>
    <cellStyle name="Student Information 22 4 2" xfId="567"/>
    <cellStyle name="Student Information 22 4 2 2" xfId="2645"/>
    <cellStyle name="Student Information 22 4 3" xfId="568"/>
    <cellStyle name="Student Information 22 4 3 2" xfId="2646"/>
    <cellStyle name="Student Information 22 4 4" xfId="2644"/>
    <cellStyle name="Student Information 22 5" xfId="569"/>
    <cellStyle name="Student Information 22 5 2" xfId="570"/>
    <cellStyle name="Student Information 22 5 2 2" xfId="2648"/>
    <cellStyle name="Student Information 22 5 3" xfId="571"/>
    <cellStyle name="Student Information 22 5 3 2" xfId="2649"/>
    <cellStyle name="Student Information 22 5 4" xfId="2647"/>
    <cellStyle name="Student Information 22 6" xfId="572"/>
    <cellStyle name="Student Information 22 6 2" xfId="573"/>
    <cellStyle name="Student Information 22 6 2 2" xfId="2651"/>
    <cellStyle name="Student Information 22 6 3" xfId="574"/>
    <cellStyle name="Student Information 22 6 3 2" xfId="2652"/>
    <cellStyle name="Student Information 22 6 4" xfId="2650"/>
    <cellStyle name="Student Information 22 7" xfId="2635"/>
    <cellStyle name="Student Information 23" xfId="575"/>
    <cellStyle name="Student Information 23 2" xfId="576"/>
    <cellStyle name="Student Information 23 2 2" xfId="577"/>
    <cellStyle name="Student Information 23 2 2 2" xfId="578"/>
    <cellStyle name="Student Information 23 2 2 2 2" xfId="2656"/>
    <cellStyle name="Student Information 23 2 2 3" xfId="2655"/>
    <cellStyle name="Student Information 23 2 3" xfId="579"/>
    <cellStyle name="Student Information 23 2 3 2" xfId="580"/>
    <cellStyle name="Student Information 23 2 3 2 2" xfId="2658"/>
    <cellStyle name="Student Information 23 2 3 3" xfId="2657"/>
    <cellStyle name="Student Information 23 2 4" xfId="2654"/>
    <cellStyle name="Student Information 23 3" xfId="581"/>
    <cellStyle name="Student Information 23 3 2" xfId="582"/>
    <cellStyle name="Student Information 23 3 2 2" xfId="2660"/>
    <cellStyle name="Student Information 23 3 3" xfId="583"/>
    <cellStyle name="Student Information 23 3 3 2" xfId="2661"/>
    <cellStyle name="Student Information 23 3 4" xfId="2659"/>
    <cellStyle name="Student Information 23 4" xfId="584"/>
    <cellStyle name="Student Information 23 4 2" xfId="585"/>
    <cellStyle name="Student Information 23 4 2 2" xfId="2663"/>
    <cellStyle name="Student Information 23 4 3" xfId="586"/>
    <cellStyle name="Student Information 23 4 3 2" xfId="2664"/>
    <cellStyle name="Student Information 23 4 4" xfId="2662"/>
    <cellStyle name="Student Information 23 5" xfId="587"/>
    <cellStyle name="Student Information 23 5 2" xfId="588"/>
    <cellStyle name="Student Information 23 5 2 2" xfId="2666"/>
    <cellStyle name="Student Information 23 5 3" xfId="589"/>
    <cellStyle name="Student Information 23 5 3 2" xfId="2667"/>
    <cellStyle name="Student Information 23 5 4" xfId="2665"/>
    <cellStyle name="Student Information 23 6" xfId="590"/>
    <cellStyle name="Student Information 23 6 2" xfId="591"/>
    <cellStyle name="Student Information 23 6 2 2" xfId="2669"/>
    <cellStyle name="Student Information 23 6 3" xfId="592"/>
    <cellStyle name="Student Information 23 6 3 2" xfId="2670"/>
    <cellStyle name="Student Information 23 6 4" xfId="2668"/>
    <cellStyle name="Student Information 23 7" xfId="2653"/>
    <cellStyle name="Student Information 24" xfId="593"/>
    <cellStyle name="Student Information 24 2" xfId="594"/>
    <cellStyle name="Student Information 24 2 2" xfId="595"/>
    <cellStyle name="Student Information 24 2 2 2" xfId="596"/>
    <cellStyle name="Student Information 24 2 2 2 2" xfId="2674"/>
    <cellStyle name="Student Information 24 2 2 3" xfId="597"/>
    <cellStyle name="Student Information 24 2 2 3 2" xfId="2675"/>
    <cellStyle name="Student Information 24 2 2 4" xfId="2673"/>
    <cellStyle name="Student Information 24 2 3" xfId="598"/>
    <cellStyle name="Student Information 24 2 3 2" xfId="599"/>
    <cellStyle name="Student Information 24 2 3 2 2" xfId="2677"/>
    <cellStyle name="Student Information 24 2 3 3" xfId="600"/>
    <cellStyle name="Student Information 24 2 3 3 2" xfId="2678"/>
    <cellStyle name="Student Information 24 2 3 4" xfId="2676"/>
    <cellStyle name="Student Information 24 2 4" xfId="601"/>
    <cellStyle name="Student Information 24 2 4 2" xfId="602"/>
    <cellStyle name="Student Information 24 2 4 2 2" xfId="2680"/>
    <cellStyle name="Student Information 24 2 4 3" xfId="603"/>
    <cellStyle name="Student Information 24 2 4 3 2" xfId="2681"/>
    <cellStyle name="Student Information 24 2 4 4" xfId="2679"/>
    <cellStyle name="Student Information 24 2 5" xfId="604"/>
    <cellStyle name="Student Information 24 2 5 2" xfId="605"/>
    <cellStyle name="Student Information 24 2 5 2 2" xfId="2683"/>
    <cellStyle name="Student Information 24 2 5 3" xfId="606"/>
    <cellStyle name="Student Information 24 2 5 3 2" xfId="2684"/>
    <cellStyle name="Student Information 24 2 5 4" xfId="2682"/>
    <cellStyle name="Student Information 24 2 6" xfId="2672"/>
    <cellStyle name="Student Information 24 3" xfId="607"/>
    <cellStyle name="Student Information 24 3 2" xfId="608"/>
    <cellStyle name="Student Information 24 3 2 2" xfId="2686"/>
    <cellStyle name="Student Information 24 3 3" xfId="609"/>
    <cellStyle name="Student Information 24 3 3 2" xfId="2687"/>
    <cellStyle name="Student Information 24 3 4" xfId="2685"/>
    <cellStyle name="Student Information 24 4" xfId="610"/>
    <cellStyle name="Student Information 24 4 2" xfId="611"/>
    <cellStyle name="Student Information 24 4 2 2" xfId="2689"/>
    <cellStyle name="Student Information 24 4 3" xfId="612"/>
    <cellStyle name="Student Information 24 4 3 2" xfId="2690"/>
    <cellStyle name="Student Information 24 4 4" xfId="613"/>
    <cellStyle name="Student Information 24 4 4 2" xfId="2691"/>
    <cellStyle name="Student Information 24 4 5" xfId="2688"/>
    <cellStyle name="Student Information 24 5" xfId="614"/>
    <cellStyle name="Student Information 24 5 2" xfId="615"/>
    <cellStyle name="Student Information 24 5 2 2" xfId="2693"/>
    <cellStyle name="Student Information 24 5 3" xfId="616"/>
    <cellStyle name="Student Information 24 5 3 2" xfId="2694"/>
    <cellStyle name="Student Information 24 5 4" xfId="2692"/>
    <cellStyle name="Student Information 24 6" xfId="617"/>
    <cellStyle name="Student Information 24 6 2" xfId="618"/>
    <cellStyle name="Student Information 24 6 2 2" xfId="2696"/>
    <cellStyle name="Student Information 24 6 3" xfId="619"/>
    <cellStyle name="Student Information 24 6 3 2" xfId="2697"/>
    <cellStyle name="Student Information 24 6 4" xfId="2695"/>
    <cellStyle name="Student Information 24 7" xfId="2671"/>
    <cellStyle name="Student Information 25" xfId="620"/>
    <cellStyle name="Student Information 25 2" xfId="621"/>
    <cellStyle name="Student Information 25 2 2" xfId="622"/>
    <cellStyle name="Student Information 25 2 2 2" xfId="623"/>
    <cellStyle name="Student Information 25 2 2 2 2" xfId="2701"/>
    <cellStyle name="Student Information 25 2 2 3" xfId="624"/>
    <cellStyle name="Student Information 25 2 2 3 2" xfId="2702"/>
    <cellStyle name="Student Information 25 2 2 4" xfId="2700"/>
    <cellStyle name="Student Information 25 2 3" xfId="625"/>
    <cellStyle name="Student Information 25 2 3 2" xfId="626"/>
    <cellStyle name="Student Information 25 2 3 2 2" xfId="2704"/>
    <cellStyle name="Student Information 25 2 3 3" xfId="627"/>
    <cellStyle name="Student Information 25 2 3 3 2" xfId="2705"/>
    <cellStyle name="Student Information 25 2 3 4" xfId="2703"/>
    <cellStyle name="Student Information 25 2 4" xfId="628"/>
    <cellStyle name="Student Information 25 2 4 2" xfId="629"/>
    <cellStyle name="Student Information 25 2 4 2 2" xfId="2707"/>
    <cellStyle name="Student Information 25 2 4 3" xfId="630"/>
    <cellStyle name="Student Information 25 2 4 3 2" xfId="2708"/>
    <cellStyle name="Student Information 25 2 4 4" xfId="2706"/>
    <cellStyle name="Student Information 25 2 5" xfId="631"/>
    <cellStyle name="Student Information 25 2 5 2" xfId="632"/>
    <cellStyle name="Student Information 25 2 5 2 2" xfId="2710"/>
    <cellStyle name="Student Information 25 2 5 3" xfId="633"/>
    <cellStyle name="Student Information 25 2 5 3 2" xfId="2711"/>
    <cellStyle name="Student Information 25 2 5 4" xfId="2709"/>
    <cellStyle name="Student Information 25 2 6" xfId="2699"/>
    <cellStyle name="Student Information 25 3" xfId="634"/>
    <cellStyle name="Student Information 25 3 2" xfId="635"/>
    <cellStyle name="Student Information 25 3 2 2" xfId="2713"/>
    <cellStyle name="Student Information 25 3 3" xfId="636"/>
    <cellStyle name="Student Information 25 3 3 2" xfId="2714"/>
    <cellStyle name="Student Information 25 3 4" xfId="2712"/>
    <cellStyle name="Student Information 25 4" xfId="637"/>
    <cellStyle name="Student Information 25 4 2" xfId="638"/>
    <cellStyle name="Student Information 25 4 2 2" xfId="2716"/>
    <cellStyle name="Student Information 25 4 3" xfId="639"/>
    <cellStyle name="Student Information 25 4 3 2" xfId="2717"/>
    <cellStyle name="Student Information 25 4 4" xfId="640"/>
    <cellStyle name="Student Information 25 4 4 2" xfId="2718"/>
    <cellStyle name="Student Information 25 4 5" xfId="2715"/>
    <cellStyle name="Student Information 25 5" xfId="641"/>
    <cellStyle name="Student Information 25 5 2" xfId="642"/>
    <cellStyle name="Student Information 25 5 2 2" xfId="2720"/>
    <cellStyle name="Student Information 25 5 3" xfId="643"/>
    <cellStyle name="Student Information 25 5 3 2" xfId="2721"/>
    <cellStyle name="Student Information 25 5 4" xfId="2719"/>
    <cellStyle name="Student Information 25 6" xfId="644"/>
    <cellStyle name="Student Information 25 6 2" xfId="645"/>
    <cellStyle name="Student Information 25 6 2 2" xfId="2723"/>
    <cellStyle name="Student Information 25 6 3" xfId="646"/>
    <cellStyle name="Student Information 25 6 3 2" xfId="2724"/>
    <cellStyle name="Student Information 25 6 4" xfId="2722"/>
    <cellStyle name="Student Information 25 7" xfId="2698"/>
    <cellStyle name="Student Information 26" xfId="647"/>
    <cellStyle name="Student Information 26 2" xfId="648"/>
    <cellStyle name="Student Information 26 2 2" xfId="649"/>
    <cellStyle name="Student Information 26 2 2 2" xfId="650"/>
    <cellStyle name="Student Information 26 2 2 2 2" xfId="2728"/>
    <cellStyle name="Student Information 26 2 2 3" xfId="651"/>
    <cellStyle name="Student Information 26 2 2 3 2" xfId="2729"/>
    <cellStyle name="Student Information 26 2 2 4" xfId="2727"/>
    <cellStyle name="Student Information 26 2 3" xfId="652"/>
    <cellStyle name="Student Information 26 2 3 2" xfId="653"/>
    <cellStyle name="Student Information 26 2 3 2 2" xfId="2731"/>
    <cellStyle name="Student Information 26 2 3 3" xfId="654"/>
    <cellStyle name="Student Information 26 2 3 3 2" xfId="2732"/>
    <cellStyle name="Student Information 26 2 3 4" xfId="2730"/>
    <cellStyle name="Student Information 26 2 4" xfId="655"/>
    <cellStyle name="Student Information 26 2 4 2" xfId="656"/>
    <cellStyle name="Student Information 26 2 4 2 2" xfId="2734"/>
    <cellStyle name="Student Information 26 2 4 3" xfId="657"/>
    <cellStyle name="Student Information 26 2 4 3 2" xfId="2735"/>
    <cellStyle name="Student Information 26 2 4 4" xfId="2733"/>
    <cellStyle name="Student Information 26 2 5" xfId="658"/>
    <cellStyle name="Student Information 26 2 5 2" xfId="659"/>
    <cellStyle name="Student Information 26 2 5 2 2" xfId="2737"/>
    <cellStyle name="Student Information 26 2 5 3" xfId="660"/>
    <cellStyle name="Student Information 26 2 5 3 2" xfId="2738"/>
    <cellStyle name="Student Information 26 2 5 4" xfId="2736"/>
    <cellStyle name="Student Information 26 2 6" xfId="2726"/>
    <cellStyle name="Student Information 26 3" xfId="661"/>
    <cellStyle name="Student Information 26 3 2" xfId="662"/>
    <cellStyle name="Student Information 26 3 2 2" xfId="2740"/>
    <cellStyle name="Student Information 26 3 3" xfId="663"/>
    <cellStyle name="Student Information 26 3 3 2" xfId="2741"/>
    <cellStyle name="Student Information 26 3 4" xfId="2739"/>
    <cellStyle name="Student Information 26 4" xfId="664"/>
    <cellStyle name="Student Information 26 4 2" xfId="665"/>
    <cellStyle name="Student Information 26 4 2 2" xfId="2743"/>
    <cellStyle name="Student Information 26 4 3" xfId="666"/>
    <cellStyle name="Student Information 26 4 3 2" xfId="2744"/>
    <cellStyle name="Student Information 26 4 4" xfId="667"/>
    <cellStyle name="Student Information 26 4 4 2" xfId="2745"/>
    <cellStyle name="Student Information 26 4 5" xfId="2742"/>
    <cellStyle name="Student Information 26 5" xfId="668"/>
    <cellStyle name="Student Information 26 5 2" xfId="669"/>
    <cellStyle name="Student Information 26 5 2 2" xfId="2747"/>
    <cellStyle name="Student Information 26 5 3" xfId="670"/>
    <cellStyle name="Student Information 26 5 3 2" xfId="2748"/>
    <cellStyle name="Student Information 26 5 4" xfId="2746"/>
    <cellStyle name="Student Information 26 6" xfId="671"/>
    <cellStyle name="Student Information 26 6 2" xfId="672"/>
    <cellStyle name="Student Information 26 6 2 2" xfId="2750"/>
    <cellStyle name="Student Information 26 6 3" xfId="673"/>
    <cellStyle name="Student Information 26 6 3 2" xfId="2751"/>
    <cellStyle name="Student Information 26 6 4" xfId="2749"/>
    <cellStyle name="Student Information 26 7" xfId="2725"/>
    <cellStyle name="Student Information 27" xfId="674"/>
    <cellStyle name="Student Information 27 2" xfId="675"/>
    <cellStyle name="Student Information 27 2 2" xfId="676"/>
    <cellStyle name="Student Information 27 2 2 2" xfId="677"/>
    <cellStyle name="Student Information 27 2 2 2 2" xfId="2755"/>
    <cellStyle name="Student Information 27 2 2 3" xfId="678"/>
    <cellStyle name="Student Information 27 2 2 3 2" xfId="2756"/>
    <cellStyle name="Student Information 27 2 2 4" xfId="2754"/>
    <cellStyle name="Student Information 27 2 3" xfId="679"/>
    <cellStyle name="Student Information 27 2 3 2" xfId="680"/>
    <cellStyle name="Student Information 27 2 3 2 2" xfId="2758"/>
    <cellStyle name="Student Information 27 2 3 3" xfId="681"/>
    <cellStyle name="Student Information 27 2 3 3 2" xfId="2759"/>
    <cellStyle name="Student Information 27 2 3 4" xfId="2757"/>
    <cellStyle name="Student Information 27 2 4" xfId="682"/>
    <cellStyle name="Student Information 27 2 4 2" xfId="683"/>
    <cellStyle name="Student Information 27 2 4 2 2" xfId="2761"/>
    <cellStyle name="Student Information 27 2 4 3" xfId="684"/>
    <cellStyle name="Student Information 27 2 4 3 2" xfId="2762"/>
    <cellStyle name="Student Information 27 2 4 4" xfId="2760"/>
    <cellStyle name="Student Information 27 2 5" xfId="685"/>
    <cellStyle name="Student Information 27 2 5 2" xfId="686"/>
    <cellStyle name="Student Information 27 2 5 2 2" xfId="2764"/>
    <cellStyle name="Student Information 27 2 5 3" xfId="687"/>
    <cellStyle name="Student Information 27 2 5 3 2" xfId="2765"/>
    <cellStyle name="Student Information 27 2 5 4" xfId="2763"/>
    <cellStyle name="Student Information 27 2 6" xfId="2753"/>
    <cellStyle name="Student Information 27 3" xfId="688"/>
    <cellStyle name="Student Information 27 3 2" xfId="689"/>
    <cellStyle name="Student Information 27 3 2 2" xfId="2767"/>
    <cellStyle name="Student Information 27 3 3" xfId="690"/>
    <cellStyle name="Student Information 27 3 3 2" xfId="2768"/>
    <cellStyle name="Student Information 27 3 4" xfId="2766"/>
    <cellStyle name="Student Information 27 4" xfId="691"/>
    <cellStyle name="Student Information 27 4 2" xfId="692"/>
    <cellStyle name="Student Information 27 4 2 2" xfId="2770"/>
    <cellStyle name="Student Information 27 4 3" xfId="693"/>
    <cellStyle name="Student Information 27 4 3 2" xfId="2771"/>
    <cellStyle name="Student Information 27 4 4" xfId="694"/>
    <cellStyle name="Student Information 27 4 4 2" xfId="2772"/>
    <cellStyle name="Student Information 27 4 5" xfId="2769"/>
    <cellStyle name="Student Information 27 5" xfId="695"/>
    <cellStyle name="Student Information 27 5 2" xfId="696"/>
    <cellStyle name="Student Information 27 5 2 2" xfId="2774"/>
    <cellStyle name="Student Information 27 5 3" xfId="697"/>
    <cellStyle name="Student Information 27 5 3 2" xfId="2775"/>
    <cellStyle name="Student Information 27 5 4" xfId="2773"/>
    <cellStyle name="Student Information 27 6" xfId="698"/>
    <cellStyle name="Student Information 27 6 2" xfId="699"/>
    <cellStyle name="Student Information 27 6 2 2" xfId="2777"/>
    <cellStyle name="Student Information 27 6 3" xfId="700"/>
    <cellStyle name="Student Information 27 6 3 2" xfId="2778"/>
    <cellStyle name="Student Information 27 6 4" xfId="2776"/>
    <cellStyle name="Student Information 27 7" xfId="2752"/>
    <cellStyle name="Student Information 28" xfId="701"/>
    <cellStyle name="Student Information 28 2" xfId="702"/>
    <cellStyle name="Student Information 28 2 2" xfId="703"/>
    <cellStyle name="Student Information 28 2 2 2" xfId="704"/>
    <cellStyle name="Student Information 28 2 2 2 2" xfId="2782"/>
    <cellStyle name="Student Information 28 2 2 3" xfId="705"/>
    <cellStyle name="Student Information 28 2 2 3 2" xfId="2783"/>
    <cellStyle name="Student Information 28 2 2 4" xfId="2781"/>
    <cellStyle name="Student Information 28 2 3" xfId="706"/>
    <cellStyle name="Student Information 28 2 3 2" xfId="707"/>
    <cellStyle name="Student Information 28 2 3 2 2" xfId="2785"/>
    <cellStyle name="Student Information 28 2 3 3" xfId="708"/>
    <cellStyle name="Student Information 28 2 3 3 2" xfId="2786"/>
    <cellStyle name="Student Information 28 2 3 4" xfId="2784"/>
    <cellStyle name="Student Information 28 2 4" xfId="709"/>
    <cellStyle name="Student Information 28 2 4 2" xfId="710"/>
    <cellStyle name="Student Information 28 2 4 2 2" xfId="2788"/>
    <cellStyle name="Student Information 28 2 4 3" xfId="711"/>
    <cellStyle name="Student Information 28 2 4 3 2" xfId="2789"/>
    <cellStyle name="Student Information 28 2 4 4" xfId="2787"/>
    <cellStyle name="Student Information 28 2 5" xfId="712"/>
    <cellStyle name="Student Information 28 2 5 2" xfId="713"/>
    <cellStyle name="Student Information 28 2 5 2 2" xfId="2791"/>
    <cellStyle name="Student Information 28 2 5 3" xfId="714"/>
    <cellStyle name="Student Information 28 2 5 3 2" xfId="2792"/>
    <cellStyle name="Student Information 28 2 5 4" xfId="2790"/>
    <cellStyle name="Student Information 28 2 6" xfId="2780"/>
    <cellStyle name="Student Information 28 3" xfId="715"/>
    <cellStyle name="Student Information 28 3 2" xfId="716"/>
    <cellStyle name="Student Information 28 3 2 2" xfId="2794"/>
    <cellStyle name="Student Information 28 3 3" xfId="717"/>
    <cellStyle name="Student Information 28 3 3 2" xfId="2795"/>
    <cellStyle name="Student Information 28 3 4" xfId="2793"/>
    <cellStyle name="Student Information 28 4" xfId="718"/>
    <cellStyle name="Student Information 28 4 2" xfId="719"/>
    <cellStyle name="Student Information 28 4 2 2" xfId="2797"/>
    <cellStyle name="Student Information 28 4 3" xfId="720"/>
    <cellStyle name="Student Information 28 4 3 2" xfId="2798"/>
    <cellStyle name="Student Information 28 4 4" xfId="721"/>
    <cellStyle name="Student Information 28 4 4 2" xfId="2799"/>
    <cellStyle name="Student Information 28 4 5" xfId="2796"/>
    <cellStyle name="Student Information 28 5" xfId="722"/>
    <cellStyle name="Student Information 28 5 2" xfId="723"/>
    <cellStyle name="Student Information 28 5 2 2" xfId="2801"/>
    <cellStyle name="Student Information 28 5 3" xfId="724"/>
    <cellStyle name="Student Information 28 5 3 2" xfId="2802"/>
    <cellStyle name="Student Information 28 5 4" xfId="2800"/>
    <cellStyle name="Student Information 28 6" xfId="725"/>
    <cellStyle name="Student Information 28 6 2" xfId="726"/>
    <cellStyle name="Student Information 28 6 2 2" xfId="2804"/>
    <cellStyle name="Student Information 28 6 3" xfId="727"/>
    <cellStyle name="Student Information 28 6 3 2" xfId="2805"/>
    <cellStyle name="Student Information 28 6 4" xfId="2803"/>
    <cellStyle name="Student Information 28 7" xfId="2779"/>
    <cellStyle name="Student Information 29" xfId="728"/>
    <cellStyle name="Student Information 29 2" xfId="729"/>
    <cellStyle name="Student Information 29 2 2" xfId="730"/>
    <cellStyle name="Student Information 29 2 2 2" xfId="731"/>
    <cellStyle name="Student Information 29 2 2 2 2" xfId="2809"/>
    <cellStyle name="Student Information 29 2 2 3" xfId="732"/>
    <cellStyle name="Student Information 29 2 2 3 2" xfId="2810"/>
    <cellStyle name="Student Information 29 2 2 4" xfId="2808"/>
    <cellStyle name="Student Information 29 2 3" xfId="733"/>
    <cellStyle name="Student Information 29 2 3 2" xfId="734"/>
    <cellStyle name="Student Information 29 2 3 2 2" xfId="2812"/>
    <cellStyle name="Student Information 29 2 3 3" xfId="735"/>
    <cellStyle name="Student Information 29 2 3 3 2" xfId="2813"/>
    <cellStyle name="Student Information 29 2 3 4" xfId="2811"/>
    <cellStyle name="Student Information 29 2 4" xfId="736"/>
    <cellStyle name="Student Information 29 2 4 2" xfId="737"/>
    <cellStyle name="Student Information 29 2 4 2 2" xfId="2815"/>
    <cellStyle name="Student Information 29 2 4 3" xfId="738"/>
    <cellStyle name="Student Information 29 2 4 3 2" xfId="2816"/>
    <cellStyle name="Student Information 29 2 4 4" xfId="2814"/>
    <cellStyle name="Student Information 29 2 5" xfId="739"/>
    <cellStyle name="Student Information 29 2 5 2" xfId="740"/>
    <cellStyle name="Student Information 29 2 5 2 2" xfId="2818"/>
    <cellStyle name="Student Information 29 2 5 3" xfId="741"/>
    <cellStyle name="Student Information 29 2 5 3 2" xfId="2819"/>
    <cellStyle name="Student Information 29 2 5 4" xfId="2817"/>
    <cellStyle name="Student Information 29 2 6" xfId="2807"/>
    <cellStyle name="Student Information 29 3" xfId="742"/>
    <cellStyle name="Student Information 29 3 2" xfId="743"/>
    <cellStyle name="Student Information 29 3 2 2" xfId="744"/>
    <cellStyle name="Student Information 29 3 2 2 2" xfId="2822"/>
    <cellStyle name="Student Information 29 3 2 3" xfId="745"/>
    <cellStyle name="Student Information 29 3 2 3 2" xfId="2823"/>
    <cellStyle name="Student Information 29 3 2 4" xfId="2821"/>
    <cellStyle name="Student Information 29 3 2 5" xfId="4115"/>
    <cellStyle name="Student Information 29 3 3" xfId="746"/>
    <cellStyle name="Student Information 29 3 3 2" xfId="747"/>
    <cellStyle name="Student Information 29 3 3 2 2" xfId="2825"/>
    <cellStyle name="Student Information 29 3 3 3" xfId="748"/>
    <cellStyle name="Student Information 29 3 3 3 2" xfId="2826"/>
    <cellStyle name="Student Information 29 3 3 4" xfId="749"/>
    <cellStyle name="Student Information 29 3 3 4 2" xfId="2827"/>
    <cellStyle name="Student Information 29 3 3 5" xfId="2824"/>
    <cellStyle name="Student Information 29 3 4" xfId="750"/>
    <cellStyle name="Student Information 29 3 4 2" xfId="751"/>
    <cellStyle name="Student Information 29 3 4 2 2" xfId="2829"/>
    <cellStyle name="Student Information 29 3 4 3" xfId="752"/>
    <cellStyle name="Student Information 29 3 4 3 2" xfId="2830"/>
    <cellStyle name="Student Information 29 3 4 4" xfId="2828"/>
    <cellStyle name="Student Information 29 3 5" xfId="753"/>
    <cellStyle name="Student Information 29 3 5 2" xfId="754"/>
    <cellStyle name="Student Information 29 3 5 2 2" xfId="2832"/>
    <cellStyle name="Student Information 29 3 5 3" xfId="755"/>
    <cellStyle name="Student Information 29 3 5 3 2" xfId="2833"/>
    <cellStyle name="Student Information 29 3 5 4" xfId="2831"/>
    <cellStyle name="Student Information 29 3 6" xfId="2820"/>
    <cellStyle name="Student Information 29 4" xfId="756"/>
    <cellStyle name="Student Information 29 4 2" xfId="757"/>
    <cellStyle name="Student Information 29 4 2 2" xfId="2835"/>
    <cellStyle name="Student Information 29 4 3" xfId="758"/>
    <cellStyle name="Student Information 29 4 3 2" xfId="2836"/>
    <cellStyle name="Student Information 29 4 4" xfId="2834"/>
    <cellStyle name="Student Information 29 5" xfId="759"/>
    <cellStyle name="Student Information 29 5 2" xfId="760"/>
    <cellStyle name="Student Information 29 5 2 2" xfId="2838"/>
    <cellStyle name="Student Information 29 5 3" xfId="761"/>
    <cellStyle name="Student Information 29 5 3 2" xfId="2839"/>
    <cellStyle name="Student Information 29 5 4" xfId="762"/>
    <cellStyle name="Student Information 29 5 4 2" xfId="2840"/>
    <cellStyle name="Student Information 29 5 5" xfId="2837"/>
    <cellStyle name="Student Information 29 6" xfId="763"/>
    <cellStyle name="Student Information 29 6 2" xfId="764"/>
    <cellStyle name="Student Information 29 6 2 2" xfId="2842"/>
    <cellStyle name="Student Information 29 6 3" xfId="765"/>
    <cellStyle name="Student Information 29 6 3 2" xfId="2843"/>
    <cellStyle name="Student Information 29 6 4" xfId="2841"/>
    <cellStyle name="Student Information 29 7" xfId="766"/>
    <cellStyle name="Student Information 29 7 2" xfId="767"/>
    <cellStyle name="Student Information 29 7 2 2" xfId="2845"/>
    <cellStyle name="Student Information 29 7 3" xfId="768"/>
    <cellStyle name="Student Information 29 7 3 2" xfId="2846"/>
    <cellStyle name="Student Information 29 7 4" xfId="2844"/>
    <cellStyle name="Student Information 29 8" xfId="2806"/>
    <cellStyle name="Student Information 3" xfId="769"/>
    <cellStyle name="Student Information 3 2" xfId="770"/>
    <cellStyle name="Student Information 3 2 2" xfId="771"/>
    <cellStyle name="Student Information 3 2 2 2" xfId="772"/>
    <cellStyle name="Student Information 3 2 2 2 2" xfId="2850"/>
    <cellStyle name="Student Information 3 2 2 3" xfId="2849"/>
    <cellStyle name="Student Information 3 2 3" xfId="773"/>
    <cellStyle name="Student Information 3 2 3 2" xfId="774"/>
    <cellStyle name="Student Information 3 2 3 2 2" xfId="2852"/>
    <cellStyle name="Student Information 3 2 3 3" xfId="2851"/>
    <cellStyle name="Student Information 3 2 4" xfId="2848"/>
    <cellStyle name="Student Information 3 3" xfId="775"/>
    <cellStyle name="Student Information 3 3 2" xfId="776"/>
    <cellStyle name="Student Information 3 3 2 2" xfId="2854"/>
    <cellStyle name="Student Information 3 3 3" xfId="777"/>
    <cellStyle name="Student Information 3 3 3 2" xfId="2855"/>
    <cellStyle name="Student Information 3 3 4" xfId="2853"/>
    <cellStyle name="Student Information 3 4" xfId="778"/>
    <cellStyle name="Student Information 3 4 2" xfId="779"/>
    <cellStyle name="Student Information 3 4 2 2" xfId="2857"/>
    <cellStyle name="Student Information 3 4 3" xfId="780"/>
    <cellStyle name="Student Information 3 4 3 2" xfId="2858"/>
    <cellStyle name="Student Information 3 4 4" xfId="2856"/>
    <cellStyle name="Student Information 3 5" xfId="781"/>
    <cellStyle name="Student Information 3 5 2" xfId="782"/>
    <cellStyle name="Student Information 3 5 2 2" xfId="2860"/>
    <cellStyle name="Student Information 3 5 3" xfId="783"/>
    <cellStyle name="Student Information 3 5 3 2" xfId="2861"/>
    <cellStyle name="Student Information 3 5 4" xfId="2859"/>
    <cellStyle name="Student Information 3 6" xfId="784"/>
    <cellStyle name="Student Information 3 6 2" xfId="785"/>
    <cellStyle name="Student Information 3 6 2 2" xfId="2863"/>
    <cellStyle name="Student Information 3 6 3" xfId="786"/>
    <cellStyle name="Student Information 3 6 3 2" xfId="2864"/>
    <cellStyle name="Student Information 3 6 4" xfId="2862"/>
    <cellStyle name="Student Information 3 7" xfId="2847"/>
    <cellStyle name="Student Information 30" xfId="787"/>
    <cellStyle name="Student Information 30 2" xfId="788"/>
    <cellStyle name="Student Information 30 2 2" xfId="789"/>
    <cellStyle name="Student Information 30 2 2 2" xfId="790"/>
    <cellStyle name="Student Information 30 2 2 2 2" xfId="2868"/>
    <cellStyle name="Student Information 30 2 2 3" xfId="791"/>
    <cellStyle name="Student Information 30 2 2 3 2" xfId="2869"/>
    <cellStyle name="Student Information 30 2 2 4" xfId="2867"/>
    <cellStyle name="Student Information 30 2 3" xfId="792"/>
    <cellStyle name="Student Information 30 2 3 2" xfId="793"/>
    <cellStyle name="Student Information 30 2 3 2 2" xfId="2871"/>
    <cellStyle name="Student Information 30 2 3 3" xfId="794"/>
    <cellStyle name="Student Information 30 2 3 3 2" xfId="2872"/>
    <cellStyle name="Student Information 30 2 3 4" xfId="2870"/>
    <cellStyle name="Student Information 30 2 4" xfId="795"/>
    <cellStyle name="Student Information 30 2 4 2" xfId="796"/>
    <cellStyle name="Student Information 30 2 4 2 2" xfId="2874"/>
    <cellStyle name="Student Information 30 2 4 3" xfId="797"/>
    <cellStyle name="Student Information 30 2 4 3 2" xfId="2875"/>
    <cellStyle name="Student Information 30 2 4 4" xfId="2873"/>
    <cellStyle name="Student Information 30 2 5" xfId="798"/>
    <cellStyle name="Student Information 30 2 5 2" xfId="799"/>
    <cellStyle name="Student Information 30 2 5 2 2" xfId="2877"/>
    <cellStyle name="Student Information 30 2 5 3" xfId="800"/>
    <cellStyle name="Student Information 30 2 5 3 2" xfId="2878"/>
    <cellStyle name="Student Information 30 2 5 4" xfId="2876"/>
    <cellStyle name="Student Information 30 2 6" xfId="2866"/>
    <cellStyle name="Student Information 30 3" xfId="801"/>
    <cellStyle name="Student Information 30 3 2" xfId="802"/>
    <cellStyle name="Student Information 30 3 2 2" xfId="803"/>
    <cellStyle name="Student Information 30 3 2 2 2" xfId="2881"/>
    <cellStyle name="Student Information 30 3 2 3" xfId="804"/>
    <cellStyle name="Student Information 30 3 2 3 2" xfId="2882"/>
    <cellStyle name="Student Information 30 3 2 4" xfId="2880"/>
    <cellStyle name="Student Information 30 3 3" xfId="805"/>
    <cellStyle name="Student Information 30 3 3 2" xfId="806"/>
    <cellStyle name="Student Information 30 3 3 2 2" xfId="2884"/>
    <cellStyle name="Student Information 30 3 3 3" xfId="807"/>
    <cellStyle name="Student Information 30 3 3 3 2" xfId="2885"/>
    <cellStyle name="Student Information 30 3 3 4" xfId="808"/>
    <cellStyle name="Student Information 30 3 3 4 2" xfId="2886"/>
    <cellStyle name="Student Information 30 3 3 5" xfId="2883"/>
    <cellStyle name="Student Information 30 3 4" xfId="809"/>
    <cellStyle name="Student Information 30 3 4 2" xfId="810"/>
    <cellStyle name="Student Information 30 3 4 2 2" xfId="2888"/>
    <cellStyle name="Student Information 30 3 4 3" xfId="811"/>
    <cellStyle name="Student Information 30 3 4 3 2" xfId="2889"/>
    <cellStyle name="Student Information 30 3 4 4" xfId="2887"/>
    <cellStyle name="Student Information 30 3 5" xfId="812"/>
    <cellStyle name="Student Information 30 3 5 2" xfId="813"/>
    <cellStyle name="Student Information 30 3 5 2 2" xfId="2891"/>
    <cellStyle name="Student Information 30 3 5 3" xfId="814"/>
    <cellStyle name="Student Information 30 3 5 3 2" xfId="2892"/>
    <cellStyle name="Student Information 30 3 5 4" xfId="2890"/>
    <cellStyle name="Student Information 30 3 6" xfId="2879"/>
    <cellStyle name="Student Information 30 4" xfId="815"/>
    <cellStyle name="Student Information 30 4 2" xfId="816"/>
    <cellStyle name="Student Information 30 4 2 2" xfId="2894"/>
    <cellStyle name="Student Information 30 4 3" xfId="817"/>
    <cellStyle name="Student Information 30 4 3 2" xfId="2895"/>
    <cellStyle name="Student Information 30 4 4" xfId="2893"/>
    <cellStyle name="Student Information 30 5" xfId="818"/>
    <cellStyle name="Student Information 30 5 2" xfId="819"/>
    <cellStyle name="Student Information 30 5 2 2" xfId="2897"/>
    <cellStyle name="Student Information 30 5 3" xfId="820"/>
    <cellStyle name="Student Information 30 5 3 2" xfId="2898"/>
    <cellStyle name="Student Information 30 5 4" xfId="821"/>
    <cellStyle name="Student Information 30 5 4 2" xfId="2899"/>
    <cellStyle name="Student Information 30 5 5" xfId="2896"/>
    <cellStyle name="Student Information 30 6" xfId="822"/>
    <cellStyle name="Student Information 30 6 2" xfId="823"/>
    <cellStyle name="Student Information 30 6 2 2" xfId="2901"/>
    <cellStyle name="Student Information 30 6 3" xfId="824"/>
    <cellStyle name="Student Information 30 6 3 2" xfId="2902"/>
    <cellStyle name="Student Information 30 6 4" xfId="2900"/>
    <cellStyle name="Student Information 30 7" xfId="825"/>
    <cellStyle name="Student Information 30 7 2" xfId="826"/>
    <cellStyle name="Student Information 30 7 2 2" xfId="2904"/>
    <cellStyle name="Student Information 30 7 3" xfId="827"/>
    <cellStyle name="Student Information 30 7 3 2" xfId="2905"/>
    <cellStyle name="Student Information 30 7 4" xfId="2903"/>
    <cellStyle name="Student Information 30 8" xfId="2865"/>
    <cellStyle name="Student Information 31" xfId="828"/>
    <cellStyle name="Student Information 31 2" xfId="829"/>
    <cellStyle name="Student Information 31 2 2" xfId="830"/>
    <cellStyle name="Student Information 31 2 2 2" xfId="831"/>
    <cellStyle name="Student Information 31 2 2 2 2" xfId="2909"/>
    <cellStyle name="Student Information 31 2 2 3" xfId="832"/>
    <cellStyle name="Student Information 31 2 2 3 2" xfId="2910"/>
    <cellStyle name="Student Information 31 2 2 4" xfId="2908"/>
    <cellStyle name="Student Information 31 2 3" xfId="833"/>
    <cellStyle name="Student Information 31 2 3 2" xfId="834"/>
    <cellStyle name="Student Information 31 2 3 2 2" xfId="2912"/>
    <cellStyle name="Student Information 31 2 3 3" xfId="835"/>
    <cellStyle name="Student Information 31 2 3 3 2" xfId="2913"/>
    <cellStyle name="Student Information 31 2 3 4" xfId="2911"/>
    <cellStyle name="Student Information 31 2 4" xfId="836"/>
    <cellStyle name="Student Information 31 2 4 2" xfId="837"/>
    <cellStyle name="Student Information 31 2 4 2 2" xfId="2915"/>
    <cellStyle name="Student Information 31 2 4 3" xfId="838"/>
    <cellStyle name="Student Information 31 2 4 3 2" xfId="2916"/>
    <cellStyle name="Student Information 31 2 4 4" xfId="2914"/>
    <cellStyle name="Student Information 31 2 5" xfId="839"/>
    <cellStyle name="Student Information 31 2 5 2" xfId="840"/>
    <cellStyle name="Student Information 31 2 5 2 2" xfId="2918"/>
    <cellStyle name="Student Information 31 2 5 3" xfId="841"/>
    <cellStyle name="Student Information 31 2 5 3 2" xfId="2919"/>
    <cellStyle name="Student Information 31 2 5 4" xfId="2917"/>
    <cellStyle name="Student Information 31 2 6" xfId="2907"/>
    <cellStyle name="Student Information 31 3" xfId="842"/>
    <cellStyle name="Student Information 31 3 2" xfId="843"/>
    <cellStyle name="Student Information 31 3 2 2" xfId="844"/>
    <cellStyle name="Student Information 31 3 2 2 2" xfId="2922"/>
    <cellStyle name="Student Information 31 3 2 3" xfId="845"/>
    <cellStyle name="Student Information 31 3 2 3 2" xfId="2923"/>
    <cellStyle name="Student Information 31 3 2 4" xfId="2921"/>
    <cellStyle name="Student Information 31 3 3" xfId="846"/>
    <cellStyle name="Student Information 31 3 3 2" xfId="847"/>
    <cellStyle name="Student Information 31 3 3 2 2" xfId="2925"/>
    <cellStyle name="Student Information 31 3 3 3" xfId="848"/>
    <cellStyle name="Student Information 31 3 3 3 2" xfId="2926"/>
    <cellStyle name="Student Information 31 3 3 4" xfId="849"/>
    <cellStyle name="Student Information 31 3 3 4 2" xfId="2927"/>
    <cellStyle name="Student Information 31 3 3 5" xfId="2924"/>
    <cellStyle name="Student Information 31 3 4" xfId="850"/>
    <cellStyle name="Student Information 31 3 4 2" xfId="851"/>
    <cellStyle name="Student Information 31 3 4 2 2" xfId="2929"/>
    <cellStyle name="Student Information 31 3 4 3" xfId="852"/>
    <cellStyle name="Student Information 31 3 4 3 2" xfId="2930"/>
    <cellStyle name="Student Information 31 3 4 4" xfId="2928"/>
    <cellStyle name="Student Information 31 3 5" xfId="853"/>
    <cellStyle name="Student Information 31 3 5 2" xfId="854"/>
    <cellStyle name="Student Information 31 3 5 2 2" xfId="2932"/>
    <cellStyle name="Student Information 31 3 5 3" xfId="855"/>
    <cellStyle name="Student Information 31 3 5 3 2" xfId="2933"/>
    <cellStyle name="Student Information 31 3 5 4" xfId="2931"/>
    <cellStyle name="Student Information 31 3 6" xfId="2920"/>
    <cellStyle name="Student Information 31 4" xfId="856"/>
    <cellStyle name="Student Information 31 4 2" xfId="857"/>
    <cellStyle name="Student Information 31 4 2 2" xfId="2935"/>
    <cellStyle name="Student Information 31 4 3" xfId="858"/>
    <cellStyle name="Student Information 31 4 3 2" xfId="2936"/>
    <cellStyle name="Student Information 31 4 4" xfId="2934"/>
    <cellStyle name="Student Information 31 5" xfId="859"/>
    <cellStyle name="Student Information 31 5 2" xfId="860"/>
    <cellStyle name="Student Information 31 5 2 2" xfId="2938"/>
    <cellStyle name="Student Information 31 5 3" xfId="861"/>
    <cellStyle name="Student Information 31 5 3 2" xfId="2939"/>
    <cellStyle name="Student Information 31 5 4" xfId="862"/>
    <cellStyle name="Student Information 31 5 4 2" xfId="2940"/>
    <cellStyle name="Student Information 31 5 5" xfId="2937"/>
    <cellStyle name="Student Information 31 6" xfId="863"/>
    <cellStyle name="Student Information 31 6 2" xfId="864"/>
    <cellStyle name="Student Information 31 6 2 2" xfId="2942"/>
    <cellStyle name="Student Information 31 6 3" xfId="865"/>
    <cellStyle name="Student Information 31 6 3 2" xfId="2943"/>
    <cellStyle name="Student Information 31 6 4" xfId="2941"/>
    <cellStyle name="Student Information 31 7" xfId="866"/>
    <cellStyle name="Student Information 31 7 2" xfId="867"/>
    <cellStyle name="Student Information 31 7 2 2" xfId="2945"/>
    <cellStyle name="Student Information 31 7 3" xfId="868"/>
    <cellStyle name="Student Information 31 7 3 2" xfId="2946"/>
    <cellStyle name="Student Information 31 7 4" xfId="2944"/>
    <cellStyle name="Student Information 31 8" xfId="2906"/>
    <cellStyle name="Student Information 32" xfId="869"/>
    <cellStyle name="Student Information 32 2" xfId="870"/>
    <cellStyle name="Student Information 32 2 2" xfId="871"/>
    <cellStyle name="Student Information 32 2 2 2" xfId="872"/>
    <cellStyle name="Student Information 32 2 2 2 2" xfId="2950"/>
    <cellStyle name="Student Information 32 2 2 3" xfId="873"/>
    <cellStyle name="Student Information 32 2 2 3 2" xfId="2951"/>
    <cellStyle name="Student Information 32 2 2 4" xfId="2949"/>
    <cellStyle name="Student Information 32 2 3" xfId="874"/>
    <cellStyle name="Student Information 32 2 3 2" xfId="875"/>
    <cellStyle name="Student Information 32 2 3 2 2" xfId="2953"/>
    <cellStyle name="Student Information 32 2 3 3" xfId="876"/>
    <cellStyle name="Student Information 32 2 3 3 2" xfId="2954"/>
    <cellStyle name="Student Information 32 2 3 4" xfId="2952"/>
    <cellStyle name="Student Information 32 2 4" xfId="877"/>
    <cellStyle name="Student Information 32 2 4 2" xfId="878"/>
    <cellStyle name="Student Information 32 2 4 2 2" xfId="2956"/>
    <cellStyle name="Student Information 32 2 4 3" xfId="879"/>
    <cellStyle name="Student Information 32 2 4 3 2" xfId="2957"/>
    <cellStyle name="Student Information 32 2 4 4" xfId="2955"/>
    <cellStyle name="Student Information 32 2 5" xfId="880"/>
    <cellStyle name="Student Information 32 2 5 2" xfId="881"/>
    <cellStyle name="Student Information 32 2 5 2 2" xfId="2959"/>
    <cellStyle name="Student Information 32 2 5 3" xfId="882"/>
    <cellStyle name="Student Information 32 2 5 3 2" xfId="2960"/>
    <cellStyle name="Student Information 32 2 5 4" xfId="2958"/>
    <cellStyle name="Student Information 32 2 6" xfId="2948"/>
    <cellStyle name="Student Information 32 3" xfId="883"/>
    <cellStyle name="Student Information 32 3 2" xfId="884"/>
    <cellStyle name="Student Information 32 3 2 2" xfId="885"/>
    <cellStyle name="Student Information 32 3 2 2 2" xfId="2963"/>
    <cellStyle name="Student Information 32 3 2 3" xfId="886"/>
    <cellStyle name="Student Information 32 3 2 3 2" xfId="2964"/>
    <cellStyle name="Student Information 32 3 2 4" xfId="2962"/>
    <cellStyle name="Student Information 32 3 3" xfId="887"/>
    <cellStyle name="Student Information 32 3 3 2" xfId="888"/>
    <cellStyle name="Student Information 32 3 3 2 2" xfId="2966"/>
    <cellStyle name="Student Information 32 3 3 3" xfId="889"/>
    <cellStyle name="Student Information 32 3 3 3 2" xfId="2967"/>
    <cellStyle name="Student Information 32 3 3 4" xfId="890"/>
    <cellStyle name="Student Information 32 3 3 4 2" xfId="2968"/>
    <cellStyle name="Student Information 32 3 3 5" xfId="2965"/>
    <cellStyle name="Student Information 32 3 4" xfId="891"/>
    <cellStyle name="Student Information 32 3 4 2" xfId="892"/>
    <cellStyle name="Student Information 32 3 4 2 2" xfId="2970"/>
    <cellStyle name="Student Information 32 3 4 3" xfId="893"/>
    <cellStyle name="Student Information 32 3 4 3 2" xfId="2971"/>
    <cellStyle name="Student Information 32 3 4 4" xfId="2969"/>
    <cellStyle name="Student Information 32 3 5" xfId="894"/>
    <cellStyle name="Student Information 32 3 5 2" xfId="895"/>
    <cellStyle name="Student Information 32 3 5 2 2" xfId="2973"/>
    <cellStyle name="Student Information 32 3 5 3" xfId="896"/>
    <cellStyle name="Student Information 32 3 5 3 2" xfId="2974"/>
    <cellStyle name="Student Information 32 3 5 4" xfId="2972"/>
    <cellStyle name="Student Information 32 3 6" xfId="2961"/>
    <cellStyle name="Student Information 32 4" xfId="897"/>
    <cellStyle name="Student Information 32 4 2" xfId="898"/>
    <cellStyle name="Student Information 32 4 2 2" xfId="2976"/>
    <cellStyle name="Student Information 32 4 3" xfId="899"/>
    <cellStyle name="Student Information 32 4 3 2" xfId="2977"/>
    <cellStyle name="Student Information 32 4 4" xfId="2975"/>
    <cellStyle name="Student Information 32 5" xfId="900"/>
    <cellStyle name="Student Information 32 5 2" xfId="901"/>
    <cellStyle name="Student Information 32 5 2 2" xfId="2979"/>
    <cellStyle name="Student Information 32 5 3" xfId="902"/>
    <cellStyle name="Student Information 32 5 3 2" xfId="2980"/>
    <cellStyle name="Student Information 32 5 4" xfId="903"/>
    <cellStyle name="Student Information 32 5 4 2" xfId="2981"/>
    <cellStyle name="Student Information 32 5 5" xfId="2978"/>
    <cellStyle name="Student Information 32 6" xfId="904"/>
    <cellStyle name="Student Information 32 6 2" xfId="905"/>
    <cellStyle name="Student Information 32 6 2 2" xfId="2983"/>
    <cellStyle name="Student Information 32 6 3" xfId="906"/>
    <cellStyle name="Student Information 32 6 3 2" xfId="2984"/>
    <cellStyle name="Student Information 32 6 4" xfId="2982"/>
    <cellStyle name="Student Information 32 7" xfId="907"/>
    <cellStyle name="Student Information 32 7 2" xfId="908"/>
    <cellStyle name="Student Information 32 7 2 2" xfId="2986"/>
    <cellStyle name="Student Information 32 7 3" xfId="909"/>
    <cellStyle name="Student Information 32 7 3 2" xfId="2987"/>
    <cellStyle name="Student Information 32 7 4" xfId="2985"/>
    <cellStyle name="Student Information 32 8" xfId="2947"/>
    <cellStyle name="Student Information 33" xfId="910"/>
    <cellStyle name="Student Information 33 2" xfId="911"/>
    <cellStyle name="Student Information 33 2 2" xfId="912"/>
    <cellStyle name="Student Information 33 2 2 2" xfId="913"/>
    <cellStyle name="Student Information 33 2 2 2 2" xfId="2991"/>
    <cellStyle name="Student Information 33 2 2 3" xfId="914"/>
    <cellStyle name="Student Information 33 2 2 3 2" xfId="2992"/>
    <cellStyle name="Student Information 33 2 2 4" xfId="2990"/>
    <cellStyle name="Student Information 33 2 3" xfId="915"/>
    <cellStyle name="Student Information 33 2 3 2" xfId="916"/>
    <cellStyle name="Student Information 33 2 3 2 2" xfId="2994"/>
    <cellStyle name="Student Information 33 2 3 3" xfId="917"/>
    <cellStyle name="Student Information 33 2 3 3 2" xfId="2995"/>
    <cellStyle name="Student Information 33 2 3 4" xfId="2993"/>
    <cellStyle name="Student Information 33 2 4" xfId="918"/>
    <cellStyle name="Student Information 33 2 4 2" xfId="919"/>
    <cellStyle name="Student Information 33 2 4 2 2" xfId="2997"/>
    <cellStyle name="Student Information 33 2 4 3" xfId="920"/>
    <cellStyle name="Student Information 33 2 4 3 2" xfId="2998"/>
    <cellStyle name="Student Information 33 2 4 4" xfId="2996"/>
    <cellStyle name="Student Information 33 2 5" xfId="921"/>
    <cellStyle name="Student Information 33 2 5 2" xfId="922"/>
    <cellStyle name="Student Information 33 2 5 2 2" xfId="3000"/>
    <cellStyle name="Student Information 33 2 5 3" xfId="923"/>
    <cellStyle name="Student Information 33 2 5 3 2" xfId="3001"/>
    <cellStyle name="Student Information 33 2 5 4" xfId="2999"/>
    <cellStyle name="Student Information 33 2 6" xfId="2989"/>
    <cellStyle name="Student Information 33 3" xfId="924"/>
    <cellStyle name="Student Information 33 3 2" xfId="925"/>
    <cellStyle name="Student Information 33 3 2 2" xfId="926"/>
    <cellStyle name="Student Information 33 3 2 2 2" xfId="3004"/>
    <cellStyle name="Student Information 33 3 2 3" xfId="927"/>
    <cellStyle name="Student Information 33 3 2 3 2" xfId="3005"/>
    <cellStyle name="Student Information 33 3 2 4" xfId="3003"/>
    <cellStyle name="Student Information 33 3 3" xfId="928"/>
    <cellStyle name="Student Information 33 3 3 2" xfId="929"/>
    <cellStyle name="Student Information 33 3 3 2 2" xfId="3007"/>
    <cellStyle name="Student Information 33 3 3 3" xfId="930"/>
    <cellStyle name="Student Information 33 3 3 3 2" xfId="3008"/>
    <cellStyle name="Student Information 33 3 3 4" xfId="931"/>
    <cellStyle name="Student Information 33 3 3 4 2" xfId="3009"/>
    <cellStyle name="Student Information 33 3 3 5" xfId="3006"/>
    <cellStyle name="Student Information 33 3 4" xfId="932"/>
    <cellStyle name="Student Information 33 3 4 2" xfId="933"/>
    <cellStyle name="Student Information 33 3 4 2 2" xfId="3011"/>
    <cellStyle name="Student Information 33 3 4 3" xfId="934"/>
    <cellStyle name="Student Information 33 3 4 3 2" xfId="3012"/>
    <cellStyle name="Student Information 33 3 4 4" xfId="3010"/>
    <cellStyle name="Student Information 33 3 5" xfId="935"/>
    <cellStyle name="Student Information 33 3 5 2" xfId="936"/>
    <cellStyle name="Student Information 33 3 5 2 2" xfId="3014"/>
    <cellStyle name="Student Information 33 3 5 3" xfId="937"/>
    <cellStyle name="Student Information 33 3 5 3 2" xfId="3015"/>
    <cellStyle name="Student Information 33 3 5 4" xfId="3013"/>
    <cellStyle name="Student Information 33 3 6" xfId="3002"/>
    <cellStyle name="Student Information 33 4" xfId="938"/>
    <cellStyle name="Student Information 33 4 2" xfId="939"/>
    <cellStyle name="Student Information 33 4 2 2" xfId="3017"/>
    <cellStyle name="Student Information 33 4 3" xfId="940"/>
    <cellStyle name="Student Information 33 4 3 2" xfId="3018"/>
    <cellStyle name="Student Information 33 4 4" xfId="3016"/>
    <cellStyle name="Student Information 33 5" xfId="941"/>
    <cellStyle name="Student Information 33 5 2" xfId="942"/>
    <cellStyle name="Student Information 33 5 2 2" xfId="3020"/>
    <cellStyle name="Student Information 33 5 3" xfId="943"/>
    <cellStyle name="Student Information 33 5 3 2" xfId="3021"/>
    <cellStyle name="Student Information 33 5 4" xfId="944"/>
    <cellStyle name="Student Information 33 5 4 2" xfId="3022"/>
    <cellStyle name="Student Information 33 5 5" xfId="3019"/>
    <cellStyle name="Student Information 33 6" xfId="945"/>
    <cellStyle name="Student Information 33 6 2" xfId="946"/>
    <cellStyle name="Student Information 33 6 2 2" xfId="3024"/>
    <cellStyle name="Student Information 33 6 3" xfId="947"/>
    <cellStyle name="Student Information 33 6 3 2" xfId="3025"/>
    <cellStyle name="Student Information 33 6 4" xfId="3023"/>
    <cellStyle name="Student Information 33 7" xfId="948"/>
    <cellStyle name="Student Information 33 7 2" xfId="949"/>
    <cellStyle name="Student Information 33 7 2 2" xfId="3027"/>
    <cellStyle name="Student Information 33 7 3" xfId="950"/>
    <cellStyle name="Student Information 33 7 3 2" xfId="3028"/>
    <cellStyle name="Student Information 33 7 4" xfId="3026"/>
    <cellStyle name="Student Information 33 8" xfId="2988"/>
    <cellStyle name="Student Information 34" xfId="951"/>
    <cellStyle name="Student Information 34 2" xfId="952"/>
    <cellStyle name="Student Information 34 2 2" xfId="953"/>
    <cellStyle name="Student Information 34 2 2 2" xfId="954"/>
    <cellStyle name="Student Information 34 2 2 2 2" xfId="3032"/>
    <cellStyle name="Student Information 34 2 2 3" xfId="955"/>
    <cellStyle name="Student Information 34 2 2 3 2" xfId="3033"/>
    <cellStyle name="Student Information 34 2 2 4" xfId="3031"/>
    <cellStyle name="Student Information 34 2 3" xfId="956"/>
    <cellStyle name="Student Information 34 2 3 2" xfId="957"/>
    <cellStyle name="Student Information 34 2 3 2 2" xfId="3035"/>
    <cellStyle name="Student Information 34 2 3 3" xfId="958"/>
    <cellStyle name="Student Information 34 2 3 3 2" xfId="3036"/>
    <cellStyle name="Student Information 34 2 3 4" xfId="3034"/>
    <cellStyle name="Student Information 34 2 4" xfId="959"/>
    <cellStyle name="Student Information 34 2 4 2" xfId="960"/>
    <cellStyle name="Student Information 34 2 4 2 2" xfId="3038"/>
    <cellStyle name="Student Information 34 2 4 3" xfId="961"/>
    <cellStyle name="Student Information 34 2 4 3 2" xfId="3039"/>
    <cellStyle name="Student Information 34 2 4 4" xfId="3037"/>
    <cellStyle name="Student Information 34 2 5" xfId="962"/>
    <cellStyle name="Student Information 34 2 5 2" xfId="963"/>
    <cellStyle name="Student Information 34 2 5 2 2" xfId="3041"/>
    <cellStyle name="Student Information 34 2 5 3" xfId="964"/>
    <cellStyle name="Student Information 34 2 5 3 2" xfId="3042"/>
    <cellStyle name="Student Information 34 2 5 4" xfId="3040"/>
    <cellStyle name="Student Information 34 2 6" xfId="3030"/>
    <cellStyle name="Student Information 34 3" xfId="965"/>
    <cellStyle name="Student Information 34 3 2" xfId="966"/>
    <cellStyle name="Student Information 34 3 2 2" xfId="967"/>
    <cellStyle name="Student Information 34 3 2 2 2" xfId="3045"/>
    <cellStyle name="Student Information 34 3 2 3" xfId="968"/>
    <cellStyle name="Student Information 34 3 2 3 2" xfId="3046"/>
    <cellStyle name="Student Information 34 3 2 4" xfId="3044"/>
    <cellStyle name="Student Information 34 3 3" xfId="969"/>
    <cellStyle name="Student Information 34 3 3 2" xfId="970"/>
    <cellStyle name="Student Information 34 3 3 2 2" xfId="3048"/>
    <cellStyle name="Student Information 34 3 3 3" xfId="971"/>
    <cellStyle name="Student Information 34 3 3 3 2" xfId="3049"/>
    <cellStyle name="Student Information 34 3 3 4" xfId="972"/>
    <cellStyle name="Student Information 34 3 3 4 2" xfId="3050"/>
    <cellStyle name="Student Information 34 3 3 5" xfId="3047"/>
    <cellStyle name="Student Information 34 3 4" xfId="973"/>
    <cellStyle name="Student Information 34 3 4 2" xfId="974"/>
    <cellStyle name="Student Information 34 3 4 2 2" xfId="3052"/>
    <cellStyle name="Student Information 34 3 4 3" xfId="975"/>
    <cellStyle name="Student Information 34 3 4 3 2" xfId="3053"/>
    <cellStyle name="Student Information 34 3 4 4" xfId="3051"/>
    <cellStyle name="Student Information 34 3 5" xfId="976"/>
    <cellStyle name="Student Information 34 3 5 2" xfId="977"/>
    <cellStyle name="Student Information 34 3 5 2 2" xfId="3055"/>
    <cellStyle name="Student Information 34 3 5 3" xfId="978"/>
    <cellStyle name="Student Information 34 3 5 3 2" xfId="3056"/>
    <cellStyle name="Student Information 34 3 5 4" xfId="3054"/>
    <cellStyle name="Student Information 34 3 6" xfId="3043"/>
    <cellStyle name="Student Information 34 4" xfId="979"/>
    <cellStyle name="Student Information 34 4 2" xfId="980"/>
    <cellStyle name="Student Information 34 4 2 2" xfId="3058"/>
    <cellStyle name="Student Information 34 4 3" xfId="981"/>
    <cellStyle name="Student Information 34 4 3 2" xfId="3059"/>
    <cellStyle name="Student Information 34 4 4" xfId="3057"/>
    <cellStyle name="Student Information 34 5" xfId="982"/>
    <cellStyle name="Student Information 34 5 2" xfId="983"/>
    <cellStyle name="Student Information 34 5 2 2" xfId="3061"/>
    <cellStyle name="Student Information 34 5 3" xfId="984"/>
    <cellStyle name="Student Information 34 5 3 2" xfId="3062"/>
    <cellStyle name="Student Information 34 5 4" xfId="985"/>
    <cellStyle name="Student Information 34 5 4 2" xfId="3063"/>
    <cellStyle name="Student Information 34 5 5" xfId="3060"/>
    <cellStyle name="Student Information 34 6" xfId="986"/>
    <cellStyle name="Student Information 34 6 2" xfId="987"/>
    <cellStyle name="Student Information 34 6 2 2" xfId="3065"/>
    <cellStyle name="Student Information 34 6 3" xfId="988"/>
    <cellStyle name="Student Information 34 6 3 2" xfId="3066"/>
    <cellStyle name="Student Information 34 6 4" xfId="3064"/>
    <cellStyle name="Student Information 34 7" xfId="989"/>
    <cellStyle name="Student Information 34 7 2" xfId="990"/>
    <cellStyle name="Student Information 34 7 2 2" xfId="3068"/>
    <cellStyle name="Student Information 34 7 3" xfId="991"/>
    <cellStyle name="Student Information 34 7 3 2" xfId="3069"/>
    <cellStyle name="Student Information 34 7 4" xfId="3067"/>
    <cellStyle name="Student Information 34 8" xfId="3029"/>
    <cellStyle name="Student Information 35" xfId="992"/>
    <cellStyle name="Student Information 35 2" xfId="993"/>
    <cellStyle name="Student Information 35 2 2" xfId="994"/>
    <cellStyle name="Student Information 35 2 2 2" xfId="3072"/>
    <cellStyle name="Student Information 35 2 3" xfId="995"/>
    <cellStyle name="Student Information 35 2 3 2" xfId="3073"/>
    <cellStyle name="Student Information 35 2 4" xfId="3071"/>
    <cellStyle name="Student Information 35 3" xfId="996"/>
    <cellStyle name="Student Information 35 3 2" xfId="997"/>
    <cellStyle name="Student Information 35 3 2 2" xfId="3075"/>
    <cellStyle name="Student Information 35 3 3" xfId="998"/>
    <cellStyle name="Student Information 35 3 3 2" xfId="3076"/>
    <cellStyle name="Student Information 35 3 4" xfId="3074"/>
    <cellStyle name="Student Information 35 4" xfId="999"/>
    <cellStyle name="Student Information 35 4 2" xfId="1000"/>
    <cellStyle name="Student Information 35 4 2 2" xfId="3078"/>
    <cellStyle name="Student Information 35 4 3" xfId="1001"/>
    <cellStyle name="Student Information 35 4 3 2" xfId="3079"/>
    <cellStyle name="Student Information 35 4 4" xfId="3077"/>
    <cellStyle name="Student Information 35 5" xfId="1002"/>
    <cellStyle name="Student Information 35 5 2" xfId="1003"/>
    <cellStyle name="Student Information 35 5 2 2" xfId="3081"/>
    <cellStyle name="Student Information 35 5 3" xfId="1004"/>
    <cellStyle name="Student Information 35 5 3 2" xfId="3082"/>
    <cellStyle name="Student Information 35 5 4" xfId="3080"/>
    <cellStyle name="Student Information 35 6" xfId="3070"/>
    <cellStyle name="Student Information 36" xfId="1005"/>
    <cellStyle name="Student Information 36 2" xfId="1006"/>
    <cellStyle name="Student Information 36 2 2" xfId="1007"/>
    <cellStyle name="Student Information 36 2 2 2" xfId="3085"/>
    <cellStyle name="Student Information 36 2 3" xfId="1008"/>
    <cellStyle name="Student Information 36 2 3 2" xfId="3086"/>
    <cellStyle name="Student Information 36 2 4" xfId="3084"/>
    <cellStyle name="Student Information 36 3" xfId="1009"/>
    <cellStyle name="Student Information 36 3 2" xfId="1010"/>
    <cellStyle name="Student Information 36 3 2 2" xfId="3088"/>
    <cellStyle name="Student Information 36 3 3" xfId="1011"/>
    <cellStyle name="Student Information 36 3 3 2" xfId="3089"/>
    <cellStyle name="Student Information 36 3 4" xfId="3087"/>
    <cellStyle name="Student Information 36 4" xfId="1012"/>
    <cellStyle name="Student Information 36 4 2" xfId="1013"/>
    <cellStyle name="Student Information 36 4 2 2" xfId="3091"/>
    <cellStyle name="Student Information 36 4 3" xfId="1014"/>
    <cellStyle name="Student Information 36 4 3 2" xfId="3092"/>
    <cellStyle name="Student Information 36 4 4" xfId="3090"/>
    <cellStyle name="Student Information 36 5" xfId="1015"/>
    <cellStyle name="Student Information 36 5 2" xfId="1016"/>
    <cellStyle name="Student Information 36 5 2 2" xfId="3094"/>
    <cellStyle name="Student Information 36 5 3" xfId="1017"/>
    <cellStyle name="Student Information 36 5 3 2" xfId="3095"/>
    <cellStyle name="Student Information 36 5 4" xfId="3093"/>
    <cellStyle name="Student Information 36 6" xfId="3083"/>
    <cellStyle name="Student Information 37" xfId="1018"/>
    <cellStyle name="Student Information 37 2" xfId="1019"/>
    <cellStyle name="Student Information 37 2 2" xfId="1020"/>
    <cellStyle name="Student Information 37 2 2 2" xfId="3098"/>
    <cellStyle name="Student Information 37 2 3" xfId="1021"/>
    <cellStyle name="Student Information 37 2 3 2" xfId="3099"/>
    <cellStyle name="Student Information 37 2 4" xfId="3097"/>
    <cellStyle name="Student Information 37 3" xfId="1022"/>
    <cellStyle name="Student Information 37 3 2" xfId="1023"/>
    <cellStyle name="Student Information 37 3 2 2" xfId="3101"/>
    <cellStyle name="Student Information 37 3 3" xfId="1024"/>
    <cellStyle name="Student Information 37 3 3 2" xfId="3102"/>
    <cellStyle name="Student Information 37 3 4" xfId="3100"/>
    <cellStyle name="Student Information 37 4" xfId="1025"/>
    <cellStyle name="Student Information 37 4 2" xfId="1026"/>
    <cellStyle name="Student Information 37 4 2 2" xfId="3104"/>
    <cellStyle name="Student Information 37 4 3" xfId="1027"/>
    <cellStyle name="Student Information 37 4 3 2" xfId="3105"/>
    <cellStyle name="Student Information 37 4 4" xfId="3103"/>
    <cellStyle name="Student Information 37 5" xfId="1028"/>
    <cellStyle name="Student Information 37 5 2" xfId="1029"/>
    <cellStyle name="Student Information 37 5 2 2" xfId="3107"/>
    <cellStyle name="Student Information 37 5 3" xfId="1030"/>
    <cellStyle name="Student Information 37 5 3 2" xfId="3108"/>
    <cellStyle name="Student Information 37 5 4" xfId="3106"/>
    <cellStyle name="Student Information 37 6" xfId="3096"/>
    <cellStyle name="Student Information 38" xfId="1031"/>
    <cellStyle name="Student Information 38 2" xfId="1032"/>
    <cellStyle name="Student Information 38 2 2" xfId="1033"/>
    <cellStyle name="Student Information 38 2 2 2" xfId="3111"/>
    <cellStyle name="Student Information 38 2 3" xfId="1034"/>
    <cellStyle name="Student Information 38 2 3 2" xfId="3112"/>
    <cellStyle name="Student Information 38 2 4" xfId="3110"/>
    <cellStyle name="Student Information 38 3" xfId="1035"/>
    <cellStyle name="Student Information 38 3 2" xfId="1036"/>
    <cellStyle name="Student Information 38 3 2 2" xfId="3114"/>
    <cellStyle name="Student Information 38 3 3" xfId="1037"/>
    <cellStyle name="Student Information 38 3 3 2" xfId="3115"/>
    <cellStyle name="Student Information 38 3 4" xfId="3113"/>
    <cellStyle name="Student Information 38 4" xfId="1038"/>
    <cellStyle name="Student Information 38 4 2" xfId="1039"/>
    <cellStyle name="Student Information 38 4 2 2" xfId="3117"/>
    <cellStyle name="Student Information 38 4 3" xfId="1040"/>
    <cellStyle name="Student Information 38 4 3 2" xfId="3118"/>
    <cellStyle name="Student Information 38 4 4" xfId="3116"/>
    <cellStyle name="Student Information 38 5" xfId="1041"/>
    <cellStyle name="Student Information 38 5 2" xfId="1042"/>
    <cellStyle name="Student Information 38 5 2 2" xfId="3120"/>
    <cellStyle name="Student Information 38 5 3" xfId="1043"/>
    <cellStyle name="Student Information 38 5 3 2" xfId="3121"/>
    <cellStyle name="Student Information 38 5 4" xfId="3119"/>
    <cellStyle name="Student Information 38 6" xfId="3109"/>
    <cellStyle name="Student Information 39" xfId="1044"/>
    <cellStyle name="Student Information 39 2" xfId="1045"/>
    <cellStyle name="Student Information 39 2 2" xfId="1046"/>
    <cellStyle name="Student Information 39 2 2 2" xfId="3124"/>
    <cellStyle name="Student Information 39 2 3" xfId="1047"/>
    <cellStyle name="Student Information 39 2 3 2" xfId="3125"/>
    <cellStyle name="Student Information 39 2 4" xfId="3123"/>
    <cellStyle name="Student Information 39 3" xfId="1048"/>
    <cellStyle name="Student Information 39 3 2" xfId="1049"/>
    <cellStyle name="Student Information 39 3 2 2" xfId="3127"/>
    <cellStyle name="Student Information 39 3 3" xfId="1050"/>
    <cellStyle name="Student Information 39 3 3 2" xfId="3128"/>
    <cellStyle name="Student Information 39 3 4" xfId="1051"/>
    <cellStyle name="Student Information 39 3 4 2" xfId="3129"/>
    <cellStyle name="Student Information 39 3 5" xfId="3126"/>
    <cellStyle name="Student Information 39 4" xfId="1052"/>
    <cellStyle name="Student Information 39 4 2" xfId="1053"/>
    <cellStyle name="Student Information 39 4 2 2" xfId="3131"/>
    <cellStyle name="Student Information 39 4 3" xfId="1054"/>
    <cellStyle name="Student Information 39 4 3 2" xfId="3132"/>
    <cellStyle name="Student Information 39 4 4" xfId="3130"/>
    <cellStyle name="Student Information 39 5" xfId="1055"/>
    <cellStyle name="Student Information 39 5 2" xfId="1056"/>
    <cellStyle name="Student Information 39 5 2 2" xfId="3134"/>
    <cellStyle name="Student Information 39 5 3" xfId="1057"/>
    <cellStyle name="Student Information 39 5 3 2" xfId="3135"/>
    <cellStyle name="Student Information 39 5 4" xfId="3133"/>
    <cellStyle name="Student Information 39 6" xfId="3122"/>
    <cellStyle name="Student Information 4" xfId="1058"/>
    <cellStyle name="Student Information 4 2" xfId="1059"/>
    <cellStyle name="Student Information 4 2 2" xfId="1060"/>
    <cellStyle name="Student Information 4 2 2 2" xfId="1061"/>
    <cellStyle name="Student Information 4 2 2 2 2" xfId="3139"/>
    <cellStyle name="Student Information 4 2 2 3" xfId="3138"/>
    <cellStyle name="Student Information 4 2 3" xfId="1062"/>
    <cellStyle name="Student Information 4 2 3 2" xfId="1063"/>
    <cellStyle name="Student Information 4 2 3 2 2" xfId="3141"/>
    <cellStyle name="Student Information 4 2 3 3" xfId="3140"/>
    <cellStyle name="Student Information 4 2 4" xfId="3137"/>
    <cellStyle name="Student Information 4 3" xfId="1064"/>
    <cellStyle name="Student Information 4 3 2" xfId="1065"/>
    <cellStyle name="Student Information 4 3 2 2" xfId="3143"/>
    <cellStyle name="Student Information 4 3 3" xfId="1066"/>
    <cellStyle name="Student Information 4 3 3 2" xfId="3144"/>
    <cellStyle name="Student Information 4 3 4" xfId="3142"/>
    <cellStyle name="Student Information 4 4" xfId="1067"/>
    <cellStyle name="Student Information 4 4 2" xfId="1068"/>
    <cellStyle name="Student Information 4 4 2 2" xfId="3146"/>
    <cellStyle name="Student Information 4 4 3" xfId="1069"/>
    <cellStyle name="Student Information 4 4 3 2" xfId="3147"/>
    <cellStyle name="Student Information 4 4 4" xfId="3145"/>
    <cellStyle name="Student Information 4 5" xfId="1070"/>
    <cellStyle name="Student Information 4 5 2" xfId="1071"/>
    <cellStyle name="Student Information 4 5 2 2" xfId="3149"/>
    <cellStyle name="Student Information 4 5 3" xfId="1072"/>
    <cellStyle name="Student Information 4 5 3 2" xfId="3150"/>
    <cellStyle name="Student Information 4 5 4" xfId="3148"/>
    <cellStyle name="Student Information 4 6" xfId="1073"/>
    <cellStyle name="Student Information 4 6 2" xfId="1074"/>
    <cellStyle name="Student Information 4 6 2 2" xfId="3152"/>
    <cellStyle name="Student Information 4 6 3" xfId="1075"/>
    <cellStyle name="Student Information 4 6 3 2" xfId="3153"/>
    <cellStyle name="Student Information 4 6 4" xfId="3151"/>
    <cellStyle name="Student Information 4 7" xfId="3136"/>
    <cellStyle name="Student Information 40" xfId="1076"/>
    <cellStyle name="Student Information 40 2" xfId="1077"/>
    <cellStyle name="Student Information 40 2 2" xfId="1078"/>
    <cellStyle name="Student Information 40 2 2 2" xfId="3156"/>
    <cellStyle name="Student Information 40 2 3" xfId="1079"/>
    <cellStyle name="Student Information 40 2 3 2" xfId="3157"/>
    <cellStyle name="Student Information 40 2 4" xfId="3155"/>
    <cellStyle name="Student Information 40 3" xfId="1080"/>
    <cellStyle name="Student Information 40 3 2" xfId="1081"/>
    <cellStyle name="Student Information 40 3 2 2" xfId="3159"/>
    <cellStyle name="Student Information 40 3 3" xfId="1082"/>
    <cellStyle name="Student Information 40 3 3 2" xfId="3160"/>
    <cellStyle name="Student Information 40 3 4" xfId="1083"/>
    <cellStyle name="Student Information 40 3 4 2" xfId="3161"/>
    <cellStyle name="Student Information 40 3 5" xfId="3158"/>
    <cellStyle name="Student Information 40 4" xfId="1084"/>
    <cellStyle name="Student Information 40 4 2" xfId="1085"/>
    <cellStyle name="Student Information 40 4 2 2" xfId="3163"/>
    <cellStyle name="Student Information 40 4 3" xfId="1086"/>
    <cellStyle name="Student Information 40 4 3 2" xfId="3164"/>
    <cellStyle name="Student Information 40 4 4" xfId="3162"/>
    <cellStyle name="Student Information 40 5" xfId="1087"/>
    <cellStyle name="Student Information 40 5 2" xfId="1088"/>
    <cellStyle name="Student Information 40 5 2 2" xfId="3166"/>
    <cellStyle name="Student Information 40 5 3" xfId="1089"/>
    <cellStyle name="Student Information 40 5 3 2" xfId="3167"/>
    <cellStyle name="Student Information 40 5 4" xfId="3165"/>
    <cellStyle name="Student Information 40 6" xfId="3154"/>
    <cellStyle name="Student Information 41" xfId="1090"/>
    <cellStyle name="Student Information 41 2" xfId="1091"/>
    <cellStyle name="Student Information 41 2 2" xfId="1092"/>
    <cellStyle name="Student Information 41 2 2 2" xfId="3170"/>
    <cellStyle name="Student Information 41 2 3" xfId="1093"/>
    <cellStyle name="Student Information 41 2 3 2" xfId="3171"/>
    <cellStyle name="Student Information 41 2 4" xfId="3169"/>
    <cellStyle name="Student Information 41 3" xfId="1094"/>
    <cellStyle name="Student Information 41 3 2" xfId="1095"/>
    <cellStyle name="Student Information 41 3 2 2" xfId="3173"/>
    <cellStyle name="Student Information 41 3 3" xfId="1096"/>
    <cellStyle name="Student Information 41 3 3 2" xfId="3174"/>
    <cellStyle name="Student Information 41 3 4" xfId="1097"/>
    <cellStyle name="Student Information 41 3 4 2" xfId="3175"/>
    <cellStyle name="Student Information 41 3 5" xfId="3172"/>
    <cellStyle name="Student Information 41 4" xfId="1098"/>
    <cellStyle name="Student Information 41 4 2" xfId="1099"/>
    <cellStyle name="Student Information 41 4 2 2" xfId="3177"/>
    <cellStyle name="Student Information 41 4 3" xfId="1100"/>
    <cellStyle name="Student Information 41 4 3 2" xfId="3178"/>
    <cellStyle name="Student Information 41 4 4" xfId="3176"/>
    <cellStyle name="Student Information 41 5" xfId="1101"/>
    <cellStyle name="Student Information 41 5 2" xfId="1102"/>
    <cellStyle name="Student Information 41 5 2 2" xfId="3180"/>
    <cellStyle name="Student Information 41 5 3" xfId="1103"/>
    <cellStyle name="Student Information 41 5 3 2" xfId="3181"/>
    <cellStyle name="Student Information 41 5 4" xfId="3179"/>
    <cellStyle name="Student Information 41 6" xfId="3168"/>
    <cellStyle name="Student Information 42" xfId="1104"/>
    <cellStyle name="Student Information 42 2" xfId="1105"/>
    <cellStyle name="Student Information 42 2 2" xfId="1106"/>
    <cellStyle name="Student Information 42 2 2 2" xfId="3184"/>
    <cellStyle name="Student Information 42 2 3" xfId="1107"/>
    <cellStyle name="Student Information 42 2 3 2" xfId="3185"/>
    <cellStyle name="Student Information 42 2 4" xfId="3183"/>
    <cellStyle name="Student Information 42 3" xfId="1108"/>
    <cellStyle name="Student Information 42 3 2" xfId="1109"/>
    <cellStyle name="Student Information 42 3 2 2" xfId="3187"/>
    <cellStyle name="Student Information 42 3 3" xfId="1110"/>
    <cellStyle name="Student Information 42 3 3 2" xfId="3188"/>
    <cellStyle name="Student Information 42 3 4" xfId="1111"/>
    <cellStyle name="Student Information 42 3 4 2" xfId="3189"/>
    <cellStyle name="Student Information 42 3 5" xfId="3186"/>
    <cellStyle name="Student Information 42 4" xfId="1112"/>
    <cellStyle name="Student Information 42 4 2" xfId="1113"/>
    <cellStyle name="Student Information 42 4 2 2" xfId="3191"/>
    <cellStyle name="Student Information 42 4 3" xfId="1114"/>
    <cellStyle name="Student Information 42 4 3 2" xfId="3192"/>
    <cellStyle name="Student Information 42 4 4" xfId="3190"/>
    <cellStyle name="Student Information 42 5" xfId="1115"/>
    <cellStyle name="Student Information 42 5 2" xfId="1116"/>
    <cellStyle name="Student Information 42 5 2 2" xfId="3194"/>
    <cellStyle name="Student Information 42 5 3" xfId="1117"/>
    <cellStyle name="Student Information 42 5 3 2" xfId="3195"/>
    <cellStyle name="Student Information 42 5 4" xfId="3193"/>
    <cellStyle name="Student Information 42 6" xfId="3182"/>
    <cellStyle name="Student Information 43" xfId="1118"/>
    <cellStyle name="Student Information 43 2" xfId="1119"/>
    <cellStyle name="Student Information 43 2 2" xfId="1120"/>
    <cellStyle name="Student Information 43 2 2 2" xfId="3198"/>
    <cellStyle name="Student Information 43 2 3" xfId="1121"/>
    <cellStyle name="Student Information 43 2 3 2" xfId="3199"/>
    <cellStyle name="Student Information 43 2 4" xfId="3197"/>
    <cellStyle name="Student Information 43 3" xfId="1122"/>
    <cellStyle name="Student Information 43 3 2" xfId="1123"/>
    <cellStyle name="Student Information 43 3 2 2" xfId="3201"/>
    <cellStyle name="Student Information 43 3 3" xfId="1124"/>
    <cellStyle name="Student Information 43 3 3 2" xfId="3202"/>
    <cellStyle name="Student Information 43 3 4" xfId="1125"/>
    <cellStyle name="Student Information 43 3 4 2" xfId="3203"/>
    <cellStyle name="Student Information 43 3 5" xfId="3200"/>
    <cellStyle name="Student Information 43 4" xfId="1126"/>
    <cellStyle name="Student Information 43 4 2" xfId="1127"/>
    <cellStyle name="Student Information 43 4 2 2" xfId="3205"/>
    <cellStyle name="Student Information 43 4 3" xfId="1128"/>
    <cellStyle name="Student Information 43 4 3 2" xfId="3206"/>
    <cellStyle name="Student Information 43 4 4" xfId="3204"/>
    <cellStyle name="Student Information 43 5" xfId="1129"/>
    <cellStyle name="Student Information 43 5 2" xfId="1130"/>
    <cellStyle name="Student Information 43 5 2 2" xfId="3208"/>
    <cellStyle name="Student Information 43 5 3" xfId="1131"/>
    <cellStyle name="Student Information 43 5 3 2" xfId="3209"/>
    <cellStyle name="Student Information 43 5 4" xfId="3207"/>
    <cellStyle name="Student Information 43 6" xfId="3196"/>
    <cellStyle name="Student Information 44" xfId="1132"/>
    <cellStyle name="Student Information 44 2" xfId="1133"/>
    <cellStyle name="Student Information 44 2 2" xfId="1134"/>
    <cellStyle name="Student Information 44 2 2 2" xfId="3212"/>
    <cellStyle name="Student Information 44 2 3" xfId="1135"/>
    <cellStyle name="Student Information 44 2 3 2" xfId="3213"/>
    <cellStyle name="Student Information 44 2 4" xfId="3211"/>
    <cellStyle name="Student Information 44 3" xfId="1136"/>
    <cellStyle name="Student Information 44 3 2" xfId="1137"/>
    <cellStyle name="Student Information 44 3 2 2" xfId="3215"/>
    <cellStyle name="Student Information 44 3 3" xfId="1138"/>
    <cellStyle name="Student Information 44 3 3 2" xfId="3216"/>
    <cellStyle name="Student Information 44 3 4" xfId="1139"/>
    <cellStyle name="Student Information 44 3 4 2" xfId="3217"/>
    <cellStyle name="Student Information 44 3 5" xfId="3214"/>
    <cellStyle name="Student Information 44 4" xfId="1140"/>
    <cellStyle name="Student Information 44 4 2" xfId="1141"/>
    <cellStyle name="Student Information 44 4 2 2" xfId="3219"/>
    <cellStyle name="Student Information 44 4 3" xfId="1142"/>
    <cellStyle name="Student Information 44 4 3 2" xfId="3220"/>
    <cellStyle name="Student Information 44 4 4" xfId="3218"/>
    <cellStyle name="Student Information 44 5" xfId="1143"/>
    <cellStyle name="Student Information 44 5 2" xfId="1144"/>
    <cellStyle name="Student Information 44 5 2 2" xfId="3222"/>
    <cellStyle name="Student Information 44 5 3" xfId="1145"/>
    <cellStyle name="Student Information 44 5 3 2" xfId="3223"/>
    <cellStyle name="Student Information 44 5 4" xfId="3221"/>
    <cellStyle name="Student Information 44 6" xfId="3210"/>
    <cellStyle name="Student Information 45" xfId="1146"/>
    <cellStyle name="Student Information 45 2" xfId="1147"/>
    <cellStyle name="Student Information 45 2 2" xfId="1148"/>
    <cellStyle name="Student Information 45 2 2 2" xfId="3226"/>
    <cellStyle name="Student Information 45 2 3" xfId="1149"/>
    <cellStyle name="Student Information 45 2 3 2" xfId="3227"/>
    <cellStyle name="Student Information 45 2 4" xfId="3225"/>
    <cellStyle name="Student Information 45 3" xfId="1150"/>
    <cellStyle name="Student Information 45 3 2" xfId="1151"/>
    <cellStyle name="Student Information 45 3 2 2" xfId="3229"/>
    <cellStyle name="Student Information 45 3 3" xfId="1152"/>
    <cellStyle name="Student Information 45 3 3 2" xfId="3230"/>
    <cellStyle name="Student Information 45 3 4" xfId="1153"/>
    <cellStyle name="Student Information 45 3 4 2" xfId="3231"/>
    <cellStyle name="Student Information 45 3 5" xfId="3228"/>
    <cellStyle name="Student Information 45 4" xfId="1154"/>
    <cellStyle name="Student Information 45 4 2" xfId="1155"/>
    <cellStyle name="Student Information 45 4 2 2" xfId="3233"/>
    <cellStyle name="Student Information 45 4 3" xfId="1156"/>
    <cellStyle name="Student Information 45 4 3 2" xfId="3234"/>
    <cellStyle name="Student Information 45 4 4" xfId="3232"/>
    <cellStyle name="Student Information 45 5" xfId="1157"/>
    <cellStyle name="Student Information 45 5 2" xfId="1158"/>
    <cellStyle name="Student Information 45 5 2 2" xfId="3236"/>
    <cellStyle name="Student Information 45 5 3" xfId="1159"/>
    <cellStyle name="Student Information 45 5 3 2" xfId="3237"/>
    <cellStyle name="Student Information 45 5 4" xfId="3235"/>
    <cellStyle name="Student Information 45 6" xfId="3224"/>
    <cellStyle name="Student Information 46" xfId="1160"/>
    <cellStyle name="Student Information 46 2" xfId="1161"/>
    <cellStyle name="Student Information 46 2 2" xfId="1162"/>
    <cellStyle name="Student Information 46 2 2 2" xfId="3240"/>
    <cellStyle name="Student Information 46 2 3" xfId="1163"/>
    <cellStyle name="Student Information 46 2 3 2" xfId="3241"/>
    <cellStyle name="Student Information 46 2 4" xfId="3239"/>
    <cellStyle name="Student Information 46 3" xfId="1164"/>
    <cellStyle name="Student Information 46 3 2" xfId="1165"/>
    <cellStyle name="Student Information 46 3 2 2" xfId="3243"/>
    <cellStyle name="Student Information 46 3 3" xfId="1166"/>
    <cellStyle name="Student Information 46 3 3 2" xfId="3244"/>
    <cellStyle name="Student Information 46 3 4" xfId="1167"/>
    <cellStyle name="Student Information 46 3 4 2" xfId="3245"/>
    <cellStyle name="Student Information 46 3 5" xfId="3242"/>
    <cellStyle name="Student Information 46 4" xfId="1168"/>
    <cellStyle name="Student Information 46 4 2" xfId="1169"/>
    <cellStyle name="Student Information 46 4 2 2" xfId="3247"/>
    <cellStyle name="Student Information 46 4 3" xfId="1170"/>
    <cellStyle name="Student Information 46 4 3 2" xfId="3248"/>
    <cellStyle name="Student Information 46 4 4" xfId="3246"/>
    <cellStyle name="Student Information 46 5" xfId="1171"/>
    <cellStyle name="Student Information 46 5 2" xfId="1172"/>
    <cellStyle name="Student Information 46 5 2 2" xfId="3250"/>
    <cellStyle name="Student Information 46 5 3" xfId="1173"/>
    <cellStyle name="Student Information 46 5 3 2" xfId="3251"/>
    <cellStyle name="Student Information 46 5 4" xfId="3249"/>
    <cellStyle name="Student Information 46 6" xfId="3238"/>
    <cellStyle name="Student Information 47" xfId="1174"/>
    <cellStyle name="Student Information 47 2" xfId="1175"/>
    <cellStyle name="Student Information 47 2 2" xfId="1176"/>
    <cellStyle name="Student Information 47 2 2 2" xfId="3254"/>
    <cellStyle name="Student Information 47 2 3" xfId="1177"/>
    <cellStyle name="Student Information 47 2 3 2" xfId="3255"/>
    <cellStyle name="Student Information 47 2 4" xfId="3253"/>
    <cellStyle name="Student Information 47 3" xfId="1178"/>
    <cellStyle name="Student Information 47 3 2" xfId="1179"/>
    <cellStyle name="Student Information 47 3 2 2" xfId="3257"/>
    <cellStyle name="Student Information 47 3 3" xfId="1180"/>
    <cellStyle name="Student Information 47 3 3 2" xfId="3258"/>
    <cellStyle name="Student Information 47 3 4" xfId="1181"/>
    <cellStyle name="Student Information 47 3 4 2" xfId="3259"/>
    <cellStyle name="Student Information 47 3 5" xfId="3256"/>
    <cellStyle name="Student Information 47 4" xfId="1182"/>
    <cellStyle name="Student Information 47 4 2" xfId="1183"/>
    <cellStyle name="Student Information 47 4 2 2" xfId="3261"/>
    <cellStyle name="Student Information 47 4 3" xfId="1184"/>
    <cellStyle name="Student Information 47 4 3 2" xfId="3262"/>
    <cellStyle name="Student Information 47 4 4" xfId="3260"/>
    <cellStyle name="Student Information 47 5" xfId="1185"/>
    <cellStyle name="Student Information 47 5 2" xfId="1186"/>
    <cellStyle name="Student Information 47 5 2 2" xfId="3264"/>
    <cellStyle name="Student Information 47 5 3" xfId="1187"/>
    <cellStyle name="Student Information 47 5 3 2" xfId="3265"/>
    <cellStyle name="Student Information 47 5 4" xfId="3263"/>
    <cellStyle name="Student Information 47 6" xfId="3252"/>
    <cellStyle name="Student Information 48" xfId="1188"/>
    <cellStyle name="Student Information 48 2" xfId="1189"/>
    <cellStyle name="Student Information 48 2 2" xfId="1190"/>
    <cellStyle name="Student Information 48 2 2 2" xfId="3268"/>
    <cellStyle name="Student Information 48 2 3" xfId="1191"/>
    <cellStyle name="Student Information 48 2 3 2" xfId="3269"/>
    <cellStyle name="Student Information 48 2 4" xfId="3267"/>
    <cellStyle name="Student Information 48 3" xfId="1192"/>
    <cellStyle name="Student Information 48 3 2" xfId="1193"/>
    <cellStyle name="Student Information 48 3 2 2" xfId="3271"/>
    <cellStyle name="Student Information 48 3 3" xfId="1194"/>
    <cellStyle name="Student Information 48 3 3 2" xfId="3272"/>
    <cellStyle name="Student Information 48 3 4" xfId="1195"/>
    <cellStyle name="Student Information 48 3 4 2" xfId="3273"/>
    <cellStyle name="Student Information 48 3 5" xfId="3270"/>
    <cellStyle name="Student Information 48 4" xfId="1196"/>
    <cellStyle name="Student Information 48 4 2" xfId="1197"/>
    <cellStyle name="Student Information 48 4 2 2" xfId="3275"/>
    <cellStyle name="Student Information 48 4 3" xfId="1198"/>
    <cellStyle name="Student Information 48 4 3 2" xfId="3276"/>
    <cellStyle name="Student Information 48 4 4" xfId="3274"/>
    <cellStyle name="Student Information 48 5" xfId="1199"/>
    <cellStyle name="Student Information 48 5 2" xfId="1200"/>
    <cellStyle name="Student Information 48 5 2 2" xfId="3278"/>
    <cellStyle name="Student Information 48 5 3" xfId="1201"/>
    <cellStyle name="Student Information 48 5 3 2" xfId="3279"/>
    <cellStyle name="Student Information 48 5 4" xfId="3277"/>
    <cellStyle name="Student Information 48 6" xfId="3266"/>
    <cellStyle name="Student Information 49" xfId="20"/>
    <cellStyle name="Student Information 49 2" xfId="1202"/>
    <cellStyle name="Student Information 49 2 10" xfId="1203"/>
    <cellStyle name="Student Information 49 2 10 2" xfId="3282"/>
    <cellStyle name="Student Information 49 2 11" xfId="1204"/>
    <cellStyle name="Student Information 49 2 11 2" xfId="3283"/>
    <cellStyle name="Student Information 49 2 12" xfId="1205"/>
    <cellStyle name="Student Information 49 2 12 2" xfId="3284"/>
    <cellStyle name="Student Information 49 2 13" xfId="3281"/>
    <cellStyle name="Student Information 49 2 2" xfId="1206"/>
    <cellStyle name="Student Information 49 2 2 2" xfId="1207"/>
    <cellStyle name="Student Information 49 2 2 2 2" xfId="3286"/>
    <cellStyle name="Student Information 49 2 2 3" xfId="1208"/>
    <cellStyle name="Student Information 49 2 2 3 2" xfId="3287"/>
    <cellStyle name="Student Information 49 2 2 4" xfId="3285"/>
    <cellStyle name="Student Information 49 2 3" xfId="1209"/>
    <cellStyle name="Student Information 49 2 3 2" xfId="1210"/>
    <cellStyle name="Student Information 49 2 3 2 2" xfId="3289"/>
    <cellStyle name="Student Information 49 2 3 3" xfId="1211"/>
    <cellStyle name="Student Information 49 2 3 3 2" xfId="3290"/>
    <cellStyle name="Student Information 49 2 3 4" xfId="1212"/>
    <cellStyle name="Student Information 49 2 3 4 2" xfId="3291"/>
    <cellStyle name="Student Information 49 2 3 5" xfId="3288"/>
    <cellStyle name="Student Information 49 2 4" xfId="1213"/>
    <cellStyle name="Student Information 49 2 4 2" xfId="1214"/>
    <cellStyle name="Student Information 49 2 4 2 2" xfId="3293"/>
    <cellStyle name="Student Information 49 2 4 3" xfId="1215"/>
    <cellStyle name="Student Information 49 2 4 3 2" xfId="3294"/>
    <cellStyle name="Student Information 49 2 4 4" xfId="3292"/>
    <cellStyle name="Student Information 49 2 5" xfId="1216"/>
    <cellStyle name="Student Information 49 2 5 2" xfId="1217"/>
    <cellStyle name="Student Information 49 2 5 2 2" xfId="3296"/>
    <cellStyle name="Student Information 49 2 5 3" xfId="1218"/>
    <cellStyle name="Student Information 49 2 5 3 2" xfId="3297"/>
    <cellStyle name="Student Information 49 2 5 4" xfId="3295"/>
    <cellStyle name="Student Information 49 2 6" xfId="1219"/>
    <cellStyle name="Student Information 49 2 6 2" xfId="3298"/>
    <cellStyle name="Student Information 49 2 7" xfId="1220"/>
    <cellStyle name="Student Information 49 2 7 2" xfId="3299"/>
    <cellStyle name="Student Information 49 2 8" xfId="1221"/>
    <cellStyle name="Student Information 49 2 8 2" xfId="3300"/>
    <cellStyle name="Student Information 49 2 9" xfId="1222"/>
    <cellStyle name="Student Information 49 2 9 2" xfId="3301"/>
    <cellStyle name="Student Information 49 3" xfId="1223"/>
    <cellStyle name="Student Information 49 3 2" xfId="1224"/>
    <cellStyle name="Student Information 49 3 2 2" xfId="3303"/>
    <cellStyle name="Student Information 49 3 3" xfId="1225"/>
    <cellStyle name="Student Information 49 3 3 2" xfId="3304"/>
    <cellStyle name="Student Information 49 3 4" xfId="3302"/>
    <cellStyle name="Student Information 49 4" xfId="1226"/>
    <cellStyle name="Student Information 49 4 2" xfId="1227"/>
    <cellStyle name="Student Information 49 4 2 2" xfId="3306"/>
    <cellStyle name="Student Information 49 4 3" xfId="1228"/>
    <cellStyle name="Student Information 49 4 3 2" xfId="3307"/>
    <cellStyle name="Student Information 49 4 4" xfId="1229"/>
    <cellStyle name="Student Information 49 4 4 2" xfId="3308"/>
    <cellStyle name="Student Information 49 4 5" xfId="3305"/>
    <cellStyle name="Student Information 49 5" xfId="1230"/>
    <cellStyle name="Student Information 49 5 2" xfId="1231"/>
    <cellStyle name="Student Information 49 5 2 2" xfId="3310"/>
    <cellStyle name="Student Information 49 5 3" xfId="1232"/>
    <cellStyle name="Student Information 49 5 3 2" xfId="3311"/>
    <cellStyle name="Student Information 49 5 4" xfId="3309"/>
    <cellStyle name="Student Information 49 6" xfId="1233"/>
    <cellStyle name="Student Information 49 6 2" xfId="1234"/>
    <cellStyle name="Student Information 49 6 2 2" xfId="3313"/>
    <cellStyle name="Student Information 49 6 3" xfId="1235"/>
    <cellStyle name="Student Information 49 6 3 2" xfId="3314"/>
    <cellStyle name="Student Information 49 6 4" xfId="3312"/>
    <cellStyle name="Student Information 49 7" xfId="3280"/>
    <cellStyle name="Student Information 5" xfId="1236"/>
    <cellStyle name="Student Information 5 2" xfId="1237"/>
    <cellStyle name="Student Information 5 2 2" xfId="1238"/>
    <cellStyle name="Student Information 5 2 2 2" xfId="1239"/>
    <cellStyle name="Student Information 5 2 2 2 2" xfId="3318"/>
    <cellStyle name="Student Information 5 2 2 3" xfId="3317"/>
    <cellStyle name="Student Information 5 2 3" xfId="1240"/>
    <cellStyle name="Student Information 5 2 3 2" xfId="1241"/>
    <cellStyle name="Student Information 5 2 3 2 2" xfId="3320"/>
    <cellStyle name="Student Information 5 2 3 3" xfId="3319"/>
    <cellStyle name="Student Information 5 2 4" xfId="3316"/>
    <cellStyle name="Student Information 5 3" xfId="1242"/>
    <cellStyle name="Student Information 5 3 2" xfId="1243"/>
    <cellStyle name="Student Information 5 3 2 2" xfId="3322"/>
    <cellStyle name="Student Information 5 3 3" xfId="1244"/>
    <cellStyle name="Student Information 5 3 3 2" xfId="3323"/>
    <cellStyle name="Student Information 5 3 4" xfId="3321"/>
    <cellStyle name="Student Information 5 4" xfId="1245"/>
    <cellStyle name="Student Information 5 4 2" xfId="1246"/>
    <cellStyle name="Student Information 5 4 2 2" xfId="3325"/>
    <cellStyle name="Student Information 5 4 3" xfId="1247"/>
    <cellStyle name="Student Information 5 4 3 2" xfId="3326"/>
    <cellStyle name="Student Information 5 4 4" xfId="3324"/>
    <cellStyle name="Student Information 5 5" xfId="1248"/>
    <cellStyle name="Student Information 5 5 2" xfId="1249"/>
    <cellStyle name="Student Information 5 5 2 2" xfId="3328"/>
    <cellStyle name="Student Information 5 5 3" xfId="1250"/>
    <cellStyle name="Student Information 5 5 3 2" xfId="3329"/>
    <cellStyle name="Student Information 5 5 4" xfId="3327"/>
    <cellStyle name="Student Information 5 6" xfId="1251"/>
    <cellStyle name="Student Information 5 6 2" xfId="1252"/>
    <cellStyle name="Student Information 5 6 2 2" xfId="3331"/>
    <cellStyle name="Student Information 5 6 3" xfId="1253"/>
    <cellStyle name="Student Information 5 6 3 2" xfId="3332"/>
    <cellStyle name="Student Information 5 6 4" xfId="3330"/>
    <cellStyle name="Student Information 5 7" xfId="3315"/>
    <cellStyle name="Student Information 50" xfId="1254"/>
    <cellStyle name="Student Information 50 2" xfId="1255"/>
    <cellStyle name="Student Information 50 2 2" xfId="1256"/>
    <cellStyle name="Student Information 50 2 2 2" xfId="3335"/>
    <cellStyle name="Student Information 50 2 3" xfId="1257"/>
    <cellStyle name="Student Information 50 2 3 2" xfId="3336"/>
    <cellStyle name="Student Information 50 2 4" xfId="3334"/>
    <cellStyle name="Student Information 50 3" xfId="1258"/>
    <cellStyle name="Student Information 50 3 2" xfId="1259"/>
    <cellStyle name="Student Information 50 3 2 2" xfId="3338"/>
    <cellStyle name="Student Information 50 3 3" xfId="1260"/>
    <cellStyle name="Student Information 50 3 3 2" xfId="3339"/>
    <cellStyle name="Student Information 50 3 4" xfId="1261"/>
    <cellStyle name="Student Information 50 3 4 2" xfId="3340"/>
    <cellStyle name="Student Information 50 3 5" xfId="3337"/>
    <cellStyle name="Student Information 50 4" xfId="1262"/>
    <cellStyle name="Student Information 50 4 2" xfId="1263"/>
    <cellStyle name="Student Information 50 4 2 2" xfId="3342"/>
    <cellStyle name="Student Information 50 4 3" xfId="1264"/>
    <cellStyle name="Student Information 50 4 3 2" xfId="3343"/>
    <cellStyle name="Student Information 50 4 4" xfId="3341"/>
    <cellStyle name="Student Information 50 5" xfId="1265"/>
    <cellStyle name="Student Information 50 5 2" xfId="1266"/>
    <cellStyle name="Student Information 50 5 2 2" xfId="3345"/>
    <cellStyle name="Student Information 50 5 3" xfId="1267"/>
    <cellStyle name="Student Information 50 5 3 2" xfId="3346"/>
    <cellStyle name="Student Information 50 5 4" xfId="3344"/>
    <cellStyle name="Student Information 50 6" xfId="3333"/>
    <cellStyle name="Student Information 51" xfId="1268"/>
    <cellStyle name="Student Information 51 2" xfId="1269"/>
    <cellStyle name="Student Information 51 2 2" xfId="1270"/>
    <cellStyle name="Student Information 51 2 2 2" xfId="3349"/>
    <cellStyle name="Student Information 51 2 3" xfId="1271"/>
    <cellStyle name="Student Information 51 2 3 2" xfId="3350"/>
    <cellStyle name="Student Information 51 2 4" xfId="3348"/>
    <cellStyle name="Student Information 51 3" xfId="1272"/>
    <cellStyle name="Student Information 51 3 2" xfId="1273"/>
    <cellStyle name="Student Information 51 3 2 2" xfId="3352"/>
    <cellStyle name="Student Information 51 3 3" xfId="1274"/>
    <cellStyle name="Student Information 51 3 3 2" xfId="3353"/>
    <cellStyle name="Student Information 51 3 4" xfId="1275"/>
    <cellStyle name="Student Information 51 3 4 2" xfId="3354"/>
    <cellStyle name="Student Information 51 3 5" xfId="3351"/>
    <cellStyle name="Student Information 51 4" xfId="1276"/>
    <cellStyle name="Student Information 51 4 2" xfId="1277"/>
    <cellStyle name="Student Information 51 4 2 2" xfId="3356"/>
    <cellStyle name="Student Information 51 4 3" xfId="1278"/>
    <cellStyle name="Student Information 51 4 3 2" xfId="3357"/>
    <cellStyle name="Student Information 51 4 4" xfId="3355"/>
    <cellStyle name="Student Information 51 5" xfId="1279"/>
    <cellStyle name="Student Information 51 5 2" xfId="1280"/>
    <cellStyle name="Student Information 51 5 2 2" xfId="3359"/>
    <cellStyle name="Student Information 51 5 3" xfId="1281"/>
    <cellStyle name="Student Information 51 5 3 2" xfId="3360"/>
    <cellStyle name="Student Information 51 5 4" xfId="3358"/>
    <cellStyle name="Student Information 51 6" xfId="3347"/>
    <cellStyle name="Student Information 52" xfId="1282"/>
    <cellStyle name="Student Information 52 2" xfId="1283"/>
    <cellStyle name="Student Information 52 2 2" xfId="1284"/>
    <cellStyle name="Student Information 52 2 2 2" xfId="3363"/>
    <cellStyle name="Student Information 52 2 3" xfId="1285"/>
    <cellStyle name="Student Information 52 2 3 2" xfId="3364"/>
    <cellStyle name="Student Information 52 2 4" xfId="3362"/>
    <cellStyle name="Student Information 52 3" xfId="1286"/>
    <cellStyle name="Student Information 52 3 2" xfId="1287"/>
    <cellStyle name="Student Information 52 3 2 2" xfId="3366"/>
    <cellStyle name="Student Information 52 3 3" xfId="1288"/>
    <cellStyle name="Student Information 52 3 3 2" xfId="3367"/>
    <cellStyle name="Student Information 52 3 4" xfId="1289"/>
    <cellStyle name="Student Information 52 3 4 2" xfId="3368"/>
    <cellStyle name="Student Information 52 3 5" xfId="3365"/>
    <cellStyle name="Student Information 52 4" xfId="1290"/>
    <cellStyle name="Student Information 52 4 2" xfId="1291"/>
    <cellStyle name="Student Information 52 4 2 2" xfId="3370"/>
    <cellStyle name="Student Information 52 4 3" xfId="1292"/>
    <cellStyle name="Student Information 52 4 3 2" xfId="3371"/>
    <cellStyle name="Student Information 52 4 4" xfId="3369"/>
    <cellStyle name="Student Information 52 5" xfId="1293"/>
    <cellStyle name="Student Information 52 5 2" xfId="1294"/>
    <cellStyle name="Student Information 52 5 2 2" xfId="3373"/>
    <cellStyle name="Student Information 52 5 3" xfId="1295"/>
    <cellStyle name="Student Information 52 5 3 2" xfId="3374"/>
    <cellStyle name="Student Information 52 5 4" xfId="3372"/>
    <cellStyle name="Student Information 52 6" xfId="3361"/>
    <cellStyle name="Student Information 53" xfId="1296"/>
    <cellStyle name="Student Information 53 2" xfId="1297"/>
    <cellStyle name="Student Information 53 2 2" xfId="1298"/>
    <cellStyle name="Student Information 53 2 2 2" xfId="3377"/>
    <cellStyle name="Student Information 53 2 3" xfId="1299"/>
    <cellStyle name="Student Information 53 2 3 2" xfId="3378"/>
    <cellStyle name="Student Information 53 2 4" xfId="3376"/>
    <cellStyle name="Student Information 53 3" xfId="1300"/>
    <cellStyle name="Student Information 53 3 2" xfId="1301"/>
    <cellStyle name="Student Information 53 3 2 2" xfId="3380"/>
    <cellStyle name="Student Information 53 3 3" xfId="1302"/>
    <cellStyle name="Student Information 53 3 3 2" xfId="3381"/>
    <cellStyle name="Student Information 53 3 4" xfId="1303"/>
    <cellStyle name="Student Information 53 3 4 2" xfId="3382"/>
    <cellStyle name="Student Information 53 3 5" xfId="3379"/>
    <cellStyle name="Student Information 53 4" xfId="1304"/>
    <cellStyle name="Student Information 53 4 2" xfId="1305"/>
    <cellStyle name="Student Information 53 4 2 2" xfId="3384"/>
    <cellStyle name="Student Information 53 4 3" xfId="1306"/>
    <cellStyle name="Student Information 53 4 3 2" xfId="3385"/>
    <cellStyle name="Student Information 53 4 4" xfId="3383"/>
    <cellStyle name="Student Information 53 5" xfId="1307"/>
    <cellStyle name="Student Information 53 5 2" xfId="1308"/>
    <cellStyle name="Student Information 53 5 2 2" xfId="3387"/>
    <cellStyle name="Student Information 53 5 3" xfId="1309"/>
    <cellStyle name="Student Information 53 5 3 2" xfId="3388"/>
    <cellStyle name="Student Information 53 5 4" xfId="3386"/>
    <cellStyle name="Student Information 53 6" xfId="3375"/>
    <cellStyle name="Student Information 54" xfId="1310"/>
    <cellStyle name="Student Information 54 2" xfId="1311"/>
    <cellStyle name="Student Information 54 2 2" xfId="1312"/>
    <cellStyle name="Student Information 54 2 2 2" xfId="3391"/>
    <cellStyle name="Student Information 54 2 3" xfId="1313"/>
    <cellStyle name="Student Information 54 2 3 2" xfId="3392"/>
    <cellStyle name="Student Information 54 2 4" xfId="3390"/>
    <cellStyle name="Student Information 54 3" xfId="1314"/>
    <cellStyle name="Student Information 54 3 2" xfId="1315"/>
    <cellStyle name="Student Information 54 3 2 2" xfId="3394"/>
    <cellStyle name="Student Information 54 3 3" xfId="1316"/>
    <cellStyle name="Student Information 54 3 3 2" xfId="3395"/>
    <cellStyle name="Student Information 54 3 4" xfId="1317"/>
    <cellStyle name="Student Information 54 3 4 2" xfId="3396"/>
    <cellStyle name="Student Information 54 3 5" xfId="3393"/>
    <cellStyle name="Student Information 54 4" xfId="1318"/>
    <cellStyle name="Student Information 54 4 2" xfId="1319"/>
    <cellStyle name="Student Information 54 4 2 2" xfId="3398"/>
    <cellStyle name="Student Information 54 4 3" xfId="1320"/>
    <cellStyle name="Student Information 54 4 3 2" xfId="3399"/>
    <cellStyle name="Student Information 54 4 4" xfId="3397"/>
    <cellStyle name="Student Information 54 5" xfId="1321"/>
    <cellStyle name="Student Information 54 5 2" xfId="1322"/>
    <cellStyle name="Student Information 54 5 2 2" xfId="3401"/>
    <cellStyle name="Student Information 54 5 3" xfId="1323"/>
    <cellStyle name="Student Information 54 5 3 2" xfId="3402"/>
    <cellStyle name="Student Information 54 5 4" xfId="3400"/>
    <cellStyle name="Student Information 54 6" xfId="3389"/>
    <cellStyle name="Student Information 55" xfId="1324"/>
    <cellStyle name="Student Information 55 2" xfId="1325"/>
    <cellStyle name="Student Information 55 2 2" xfId="1326"/>
    <cellStyle name="Student Information 55 2 2 2" xfId="3405"/>
    <cellStyle name="Student Information 55 2 3" xfId="1327"/>
    <cellStyle name="Student Information 55 2 3 2" xfId="3406"/>
    <cellStyle name="Student Information 55 2 4" xfId="3404"/>
    <cellStyle name="Student Information 55 3" xfId="1328"/>
    <cellStyle name="Student Information 55 3 2" xfId="1329"/>
    <cellStyle name="Student Information 55 3 2 2" xfId="3408"/>
    <cellStyle name="Student Information 55 3 3" xfId="1330"/>
    <cellStyle name="Student Information 55 3 3 2" xfId="3409"/>
    <cellStyle name="Student Information 55 3 4" xfId="1331"/>
    <cellStyle name="Student Information 55 3 4 2" xfId="3410"/>
    <cellStyle name="Student Information 55 3 5" xfId="3407"/>
    <cellStyle name="Student Information 55 4" xfId="1332"/>
    <cellStyle name="Student Information 55 4 2" xfId="1333"/>
    <cellStyle name="Student Information 55 4 2 2" xfId="3412"/>
    <cellStyle name="Student Information 55 4 3" xfId="1334"/>
    <cellStyle name="Student Information 55 4 3 2" xfId="3413"/>
    <cellStyle name="Student Information 55 4 4" xfId="3411"/>
    <cellStyle name="Student Information 55 5" xfId="1335"/>
    <cellStyle name="Student Information 55 5 2" xfId="1336"/>
    <cellStyle name="Student Information 55 5 2 2" xfId="3415"/>
    <cellStyle name="Student Information 55 5 3" xfId="1337"/>
    <cellStyle name="Student Information 55 5 3 2" xfId="3416"/>
    <cellStyle name="Student Information 55 5 4" xfId="3414"/>
    <cellStyle name="Student Information 55 6" xfId="3403"/>
    <cellStyle name="Student Information 56" xfId="1338"/>
    <cellStyle name="Student Information 56 2" xfId="1339"/>
    <cellStyle name="Student Information 56 2 2" xfId="1340"/>
    <cellStyle name="Student Information 56 2 2 2" xfId="3419"/>
    <cellStyle name="Student Information 56 2 3" xfId="1341"/>
    <cellStyle name="Student Information 56 2 3 2" xfId="3420"/>
    <cellStyle name="Student Information 56 2 4" xfId="3418"/>
    <cellStyle name="Student Information 56 3" xfId="1342"/>
    <cellStyle name="Student Information 56 3 2" xfId="1343"/>
    <cellStyle name="Student Information 56 3 2 2" xfId="3422"/>
    <cellStyle name="Student Information 56 3 3" xfId="1344"/>
    <cellStyle name="Student Information 56 3 3 2" xfId="3423"/>
    <cellStyle name="Student Information 56 3 4" xfId="1345"/>
    <cellStyle name="Student Information 56 3 4 2" xfId="3424"/>
    <cellStyle name="Student Information 56 3 5" xfId="3421"/>
    <cellStyle name="Student Information 56 4" xfId="1346"/>
    <cellStyle name="Student Information 56 4 2" xfId="1347"/>
    <cellStyle name="Student Information 56 4 2 2" xfId="3426"/>
    <cellStyle name="Student Information 56 4 3" xfId="1348"/>
    <cellStyle name="Student Information 56 4 3 2" xfId="3427"/>
    <cellStyle name="Student Information 56 4 4" xfId="3425"/>
    <cellStyle name="Student Information 56 5" xfId="1349"/>
    <cellStyle name="Student Information 56 5 2" xfId="1350"/>
    <cellStyle name="Student Information 56 5 2 2" xfId="3429"/>
    <cellStyle name="Student Information 56 5 3" xfId="1351"/>
    <cellStyle name="Student Information 56 5 3 2" xfId="3430"/>
    <cellStyle name="Student Information 56 5 4" xfId="3428"/>
    <cellStyle name="Student Information 56 6" xfId="3417"/>
    <cellStyle name="Student Information 57" xfId="1352"/>
    <cellStyle name="Student Information 57 2" xfId="1353"/>
    <cellStyle name="Student Information 57 2 2" xfId="1354"/>
    <cellStyle name="Student Information 57 2 2 2" xfId="3433"/>
    <cellStyle name="Student Information 57 2 3" xfId="1355"/>
    <cellStyle name="Student Information 57 2 3 2" xfId="3434"/>
    <cellStyle name="Student Information 57 2 4" xfId="3432"/>
    <cellStyle name="Student Information 57 3" xfId="1356"/>
    <cellStyle name="Student Information 57 3 2" xfId="1357"/>
    <cellStyle name="Student Information 57 3 2 2" xfId="3436"/>
    <cellStyle name="Student Information 57 3 3" xfId="1358"/>
    <cellStyle name="Student Information 57 3 3 2" xfId="3437"/>
    <cellStyle name="Student Information 57 3 4" xfId="1359"/>
    <cellStyle name="Student Information 57 3 4 2" xfId="3438"/>
    <cellStyle name="Student Information 57 3 5" xfId="3435"/>
    <cellStyle name="Student Information 57 4" xfId="1360"/>
    <cellStyle name="Student Information 57 4 2" xfId="1361"/>
    <cellStyle name="Student Information 57 4 2 2" xfId="3440"/>
    <cellStyle name="Student Information 57 4 3" xfId="1362"/>
    <cellStyle name="Student Information 57 4 3 2" xfId="3441"/>
    <cellStyle name="Student Information 57 4 4" xfId="3439"/>
    <cellStyle name="Student Information 57 5" xfId="1363"/>
    <cellStyle name="Student Information 57 5 2" xfId="1364"/>
    <cellStyle name="Student Information 57 5 2 2" xfId="3443"/>
    <cellStyle name="Student Information 57 5 3" xfId="1365"/>
    <cellStyle name="Student Information 57 5 3 2" xfId="3444"/>
    <cellStyle name="Student Information 57 5 4" xfId="3442"/>
    <cellStyle name="Student Information 57 6" xfId="3431"/>
    <cellStyle name="Student Information 58" xfId="1366"/>
    <cellStyle name="Student Information 58 2" xfId="1367"/>
    <cellStyle name="Student Information 58 2 2" xfId="1368"/>
    <cellStyle name="Student Information 58 2 2 2" xfId="3447"/>
    <cellStyle name="Student Information 58 2 3" xfId="1369"/>
    <cellStyle name="Student Information 58 2 3 2" xfId="3448"/>
    <cellStyle name="Student Information 58 2 4" xfId="3446"/>
    <cellStyle name="Student Information 58 3" xfId="1370"/>
    <cellStyle name="Student Information 58 3 2" xfId="1371"/>
    <cellStyle name="Student Information 58 3 2 2" xfId="3450"/>
    <cellStyle name="Student Information 58 3 3" xfId="1372"/>
    <cellStyle name="Student Information 58 3 3 2" xfId="3451"/>
    <cellStyle name="Student Information 58 3 4" xfId="1373"/>
    <cellStyle name="Student Information 58 3 4 2" xfId="3452"/>
    <cellStyle name="Student Information 58 3 5" xfId="3449"/>
    <cellStyle name="Student Information 58 4" xfId="1374"/>
    <cellStyle name="Student Information 58 4 2" xfId="1375"/>
    <cellStyle name="Student Information 58 4 2 2" xfId="3454"/>
    <cellStyle name="Student Information 58 4 3" xfId="1376"/>
    <cellStyle name="Student Information 58 4 3 2" xfId="3455"/>
    <cellStyle name="Student Information 58 4 4" xfId="3453"/>
    <cellStyle name="Student Information 58 5" xfId="1377"/>
    <cellStyle name="Student Information 58 5 2" xfId="1378"/>
    <cellStyle name="Student Information 58 5 2 2" xfId="3457"/>
    <cellStyle name="Student Information 58 5 3" xfId="1379"/>
    <cellStyle name="Student Information 58 5 3 2" xfId="3458"/>
    <cellStyle name="Student Information 58 5 4" xfId="3456"/>
    <cellStyle name="Student Information 58 6" xfId="3445"/>
    <cellStyle name="Student Information 59" xfId="1380"/>
    <cellStyle name="Student Information 59 2" xfId="1381"/>
    <cellStyle name="Student Information 59 2 2" xfId="1382"/>
    <cellStyle name="Student Information 59 2 2 2" xfId="3461"/>
    <cellStyle name="Student Information 59 2 3" xfId="1383"/>
    <cellStyle name="Student Information 59 2 3 2" xfId="3462"/>
    <cellStyle name="Student Information 59 2 4" xfId="3460"/>
    <cellStyle name="Student Information 59 3" xfId="1384"/>
    <cellStyle name="Student Information 59 3 2" xfId="1385"/>
    <cellStyle name="Student Information 59 3 2 2" xfId="3464"/>
    <cellStyle name="Student Information 59 3 3" xfId="1386"/>
    <cellStyle name="Student Information 59 3 3 2" xfId="3465"/>
    <cellStyle name="Student Information 59 3 4" xfId="1387"/>
    <cellStyle name="Student Information 59 3 4 2" xfId="3466"/>
    <cellStyle name="Student Information 59 3 5" xfId="3463"/>
    <cellStyle name="Student Information 59 4" xfId="1388"/>
    <cellStyle name="Student Information 59 4 2" xfId="1389"/>
    <cellStyle name="Student Information 59 4 2 2" xfId="3468"/>
    <cellStyle name="Student Information 59 4 3" xfId="1390"/>
    <cellStyle name="Student Information 59 4 3 2" xfId="3469"/>
    <cellStyle name="Student Information 59 4 4" xfId="3467"/>
    <cellStyle name="Student Information 59 5" xfId="1391"/>
    <cellStyle name="Student Information 59 5 2" xfId="1392"/>
    <cellStyle name="Student Information 59 5 2 2" xfId="3471"/>
    <cellStyle name="Student Information 59 5 3" xfId="1393"/>
    <cellStyle name="Student Information 59 5 3 2" xfId="3472"/>
    <cellStyle name="Student Information 59 5 4" xfId="3470"/>
    <cellStyle name="Student Information 59 6" xfId="3459"/>
    <cellStyle name="Student Information 6" xfId="1394"/>
    <cellStyle name="Student Information 6 2" xfId="1395"/>
    <cellStyle name="Student Information 6 2 2" xfId="1396"/>
    <cellStyle name="Student Information 6 2 2 2" xfId="1397"/>
    <cellStyle name="Student Information 6 2 2 2 2" xfId="3476"/>
    <cellStyle name="Student Information 6 2 2 3" xfId="3475"/>
    <cellStyle name="Student Information 6 2 3" xfId="1398"/>
    <cellStyle name="Student Information 6 2 3 2" xfId="1399"/>
    <cellStyle name="Student Information 6 2 3 2 2" xfId="3478"/>
    <cellStyle name="Student Information 6 2 3 3" xfId="3477"/>
    <cellStyle name="Student Information 6 2 4" xfId="3474"/>
    <cellStyle name="Student Information 6 3" xfId="1400"/>
    <cellStyle name="Student Information 6 3 2" xfId="1401"/>
    <cellStyle name="Student Information 6 3 2 2" xfId="3480"/>
    <cellStyle name="Student Information 6 3 3" xfId="1402"/>
    <cellStyle name="Student Information 6 3 3 2" xfId="3481"/>
    <cellStyle name="Student Information 6 3 4" xfId="3479"/>
    <cellStyle name="Student Information 6 4" xfId="1403"/>
    <cellStyle name="Student Information 6 4 2" xfId="1404"/>
    <cellStyle name="Student Information 6 4 2 2" xfId="3483"/>
    <cellStyle name="Student Information 6 4 3" xfId="1405"/>
    <cellStyle name="Student Information 6 4 3 2" xfId="3484"/>
    <cellStyle name="Student Information 6 4 4" xfId="3482"/>
    <cellStyle name="Student Information 6 5" xfId="1406"/>
    <cellStyle name="Student Information 6 5 2" xfId="1407"/>
    <cellStyle name="Student Information 6 5 2 2" xfId="3486"/>
    <cellStyle name="Student Information 6 5 3" xfId="1408"/>
    <cellStyle name="Student Information 6 5 3 2" xfId="3487"/>
    <cellStyle name="Student Information 6 5 4" xfId="3485"/>
    <cellStyle name="Student Information 6 6" xfId="1409"/>
    <cellStyle name="Student Information 6 6 2" xfId="1410"/>
    <cellStyle name="Student Information 6 6 2 2" xfId="3489"/>
    <cellStyle name="Student Information 6 6 3" xfId="1411"/>
    <cellStyle name="Student Information 6 6 3 2" xfId="3490"/>
    <cellStyle name="Student Information 6 6 4" xfId="3488"/>
    <cellStyle name="Student Information 6 7" xfId="3473"/>
    <cellStyle name="Student Information 60" xfId="1412"/>
    <cellStyle name="Student Information 60 2" xfId="1413"/>
    <cellStyle name="Student Information 60 2 2" xfId="1414"/>
    <cellStyle name="Student Information 60 2 2 2" xfId="3493"/>
    <cellStyle name="Student Information 60 2 3" xfId="1415"/>
    <cellStyle name="Student Information 60 2 3 2" xfId="3494"/>
    <cellStyle name="Student Information 60 2 4" xfId="3492"/>
    <cellStyle name="Student Information 60 3" xfId="1416"/>
    <cellStyle name="Student Information 60 3 2" xfId="1417"/>
    <cellStyle name="Student Information 60 3 2 2" xfId="3496"/>
    <cellStyle name="Student Information 60 3 3" xfId="1418"/>
    <cellStyle name="Student Information 60 3 3 2" xfId="3497"/>
    <cellStyle name="Student Information 60 3 4" xfId="1419"/>
    <cellStyle name="Student Information 60 3 4 2" xfId="3498"/>
    <cellStyle name="Student Information 60 3 5" xfId="3495"/>
    <cellStyle name="Student Information 60 4" xfId="1420"/>
    <cellStyle name="Student Information 60 4 2" xfId="1421"/>
    <cellStyle name="Student Information 60 4 2 2" xfId="3500"/>
    <cellStyle name="Student Information 60 4 3" xfId="1422"/>
    <cellStyle name="Student Information 60 4 3 2" xfId="3501"/>
    <cellStyle name="Student Information 60 4 4" xfId="3499"/>
    <cellStyle name="Student Information 60 5" xfId="1423"/>
    <cellStyle name="Student Information 60 5 2" xfId="1424"/>
    <cellStyle name="Student Information 60 5 2 2" xfId="3503"/>
    <cellStyle name="Student Information 60 5 3" xfId="1425"/>
    <cellStyle name="Student Information 60 5 3 2" xfId="3504"/>
    <cellStyle name="Student Information 60 5 4" xfId="3502"/>
    <cellStyle name="Student Information 60 6" xfId="3491"/>
    <cellStyle name="Student Information 61" xfId="1426"/>
    <cellStyle name="Student Information 61 2" xfId="1427"/>
    <cellStyle name="Student Information 61 2 2" xfId="1428"/>
    <cellStyle name="Student Information 61 2 2 2" xfId="3507"/>
    <cellStyle name="Student Information 61 2 3" xfId="1429"/>
    <cellStyle name="Student Information 61 2 3 2" xfId="3508"/>
    <cellStyle name="Student Information 61 2 4" xfId="3506"/>
    <cellStyle name="Student Information 61 3" xfId="1430"/>
    <cellStyle name="Student Information 61 3 2" xfId="1431"/>
    <cellStyle name="Student Information 61 3 2 2" xfId="3510"/>
    <cellStyle name="Student Information 61 3 3" xfId="1432"/>
    <cellStyle name="Student Information 61 3 3 2" xfId="3511"/>
    <cellStyle name="Student Information 61 3 4" xfId="1433"/>
    <cellStyle name="Student Information 61 3 4 2" xfId="3512"/>
    <cellStyle name="Student Information 61 3 5" xfId="3509"/>
    <cellStyle name="Student Information 61 4" xfId="1434"/>
    <cellStyle name="Student Information 61 4 2" xfId="1435"/>
    <cellStyle name="Student Information 61 4 2 2" xfId="3514"/>
    <cellStyle name="Student Information 61 4 3" xfId="1436"/>
    <cellStyle name="Student Information 61 4 3 2" xfId="3515"/>
    <cellStyle name="Student Information 61 4 4" xfId="3513"/>
    <cellStyle name="Student Information 61 5" xfId="1437"/>
    <cellStyle name="Student Information 61 5 2" xfId="1438"/>
    <cellStyle name="Student Information 61 5 2 2" xfId="3517"/>
    <cellStyle name="Student Information 61 5 3" xfId="1439"/>
    <cellStyle name="Student Information 61 5 3 2" xfId="3518"/>
    <cellStyle name="Student Information 61 5 4" xfId="3516"/>
    <cellStyle name="Student Information 61 6" xfId="3505"/>
    <cellStyle name="Student Information 62" xfId="1440"/>
    <cellStyle name="Student Information 62 2" xfId="1441"/>
    <cellStyle name="Student Information 62 2 2" xfId="1442"/>
    <cellStyle name="Student Information 62 2 2 2" xfId="3521"/>
    <cellStyle name="Student Information 62 2 3" xfId="1443"/>
    <cellStyle name="Student Information 62 2 3 2" xfId="3522"/>
    <cellStyle name="Student Information 62 2 4" xfId="3520"/>
    <cellStyle name="Student Information 62 3" xfId="1444"/>
    <cellStyle name="Student Information 62 3 2" xfId="1445"/>
    <cellStyle name="Student Information 62 3 2 2" xfId="3524"/>
    <cellStyle name="Student Information 62 3 3" xfId="1446"/>
    <cellStyle name="Student Information 62 3 3 2" xfId="3525"/>
    <cellStyle name="Student Information 62 3 4" xfId="3523"/>
    <cellStyle name="Student Information 62 4" xfId="1447"/>
    <cellStyle name="Student Information 62 4 2" xfId="1448"/>
    <cellStyle name="Student Information 62 4 2 2" xfId="3527"/>
    <cellStyle name="Student Information 62 4 3" xfId="1449"/>
    <cellStyle name="Student Information 62 4 3 2" xfId="3528"/>
    <cellStyle name="Student Information 62 4 4" xfId="3526"/>
    <cellStyle name="Student Information 62 5" xfId="1450"/>
    <cellStyle name="Student Information 62 5 2" xfId="1451"/>
    <cellStyle name="Student Information 62 5 2 2" xfId="3530"/>
    <cellStyle name="Student Information 62 5 3" xfId="1452"/>
    <cellStyle name="Student Information 62 5 3 2" xfId="3531"/>
    <cellStyle name="Student Information 62 5 4" xfId="3529"/>
    <cellStyle name="Student Information 62 6" xfId="3519"/>
    <cellStyle name="Student Information 63" xfId="1453"/>
    <cellStyle name="Student Information 63 2" xfId="1454"/>
    <cellStyle name="Student Information 63 2 2" xfId="1455"/>
    <cellStyle name="Student Information 63 2 2 2" xfId="3534"/>
    <cellStyle name="Student Information 63 2 3" xfId="1456"/>
    <cellStyle name="Student Information 63 2 3 2" xfId="3535"/>
    <cellStyle name="Student Information 63 2 4" xfId="3533"/>
    <cellStyle name="Student Information 63 3" xfId="1457"/>
    <cellStyle name="Student Information 63 3 2" xfId="1458"/>
    <cellStyle name="Student Information 63 3 2 2" xfId="3537"/>
    <cellStyle name="Student Information 63 3 3" xfId="1459"/>
    <cellStyle name="Student Information 63 3 3 2" xfId="3538"/>
    <cellStyle name="Student Information 63 3 4" xfId="3536"/>
    <cellStyle name="Student Information 63 4" xfId="1460"/>
    <cellStyle name="Student Information 63 4 2" xfId="1461"/>
    <cellStyle name="Student Information 63 4 2 2" xfId="3540"/>
    <cellStyle name="Student Information 63 4 3" xfId="1462"/>
    <cellStyle name="Student Information 63 4 3 2" xfId="3541"/>
    <cellStyle name="Student Information 63 4 4" xfId="3539"/>
    <cellStyle name="Student Information 63 5" xfId="1463"/>
    <cellStyle name="Student Information 63 5 2" xfId="1464"/>
    <cellStyle name="Student Information 63 5 2 2" xfId="3543"/>
    <cellStyle name="Student Information 63 5 3" xfId="1465"/>
    <cellStyle name="Student Information 63 5 3 2" xfId="3544"/>
    <cellStyle name="Student Information 63 5 4" xfId="3542"/>
    <cellStyle name="Student Information 63 6" xfId="3532"/>
    <cellStyle name="Student Information 64" xfId="1466"/>
    <cellStyle name="Student Information 64 2" xfId="1467"/>
    <cellStyle name="Student Information 64 2 2" xfId="1468"/>
    <cellStyle name="Student Information 64 2 2 2" xfId="3547"/>
    <cellStyle name="Student Information 64 2 3" xfId="1469"/>
    <cellStyle name="Student Information 64 2 3 2" xfId="3548"/>
    <cellStyle name="Student Information 64 2 4" xfId="3546"/>
    <cellStyle name="Student Information 64 3" xfId="1470"/>
    <cellStyle name="Student Information 64 3 2" xfId="1471"/>
    <cellStyle name="Student Information 64 3 2 2" xfId="3550"/>
    <cellStyle name="Student Information 64 3 3" xfId="1472"/>
    <cellStyle name="Student Information 64 3 3 2" xfId="3551"/>
    <cellStyle name="Student Information 64 3 4" xfId="3549"/>
    <cellStyle name="Student Information 64 4" xfId="1473"/>
    <cellStyle name="Student Information 64 4 2" xfId="1474"/>
    <cellStyle name="Student Information 64 4 2 2" xfId="3553"/>
    <cellStyle name="Student Information 64 4 3" xfId="1475"/>
    <cellStyle name="Student Information 64 4 3 2" xfId="3554"/>
    <cellStyle name="Student Information 64 4 4" xfId="3552"/>
    <cellStyle name="Student Information 64 5" xfId="1476"/>
    <cellStyle name="Student Information 64 5 2" xfId="1477"/>
    <cellStyle name="Student Information 64 5 2 2" xfId="3556"/>
    <cellStyle name="Student Information 64 5 3" xfId="1478"/>
    <cellStyle name="Student Information 64 5 3 2" xfId="3557"/>
    <cellStyle name="Student Information 64 5 4" xfId="3555"/>
    <cellStyle name="Student Information 64 6" xfId="3545"/>
    <cellStyle name="Student Information 65" xfId="1479"/>
    <cellStyle name="Student Information 65 2" xfId="1480"/>
    <cellStyle name="Student Information 65 2 2" xfId="1481"/>
    <cellStyle name="Student Information 65 2 2 2" xfId="3560"/>
    <cellStyle name="Student Information 65 2 3" xfId="1482"/>
    <cellStyle name="Student Information 65 2 3 2" xfId="3561"/>
    <cellStyle name="Student Information 65 2 4" xfId="3559"/>
    <cellStyle name="Student Information 65 3" xfId="1483"/>
    <cellStyle name="Student Information 65 3 2" xfId="1484"/>
    <cellStyle name="Student Information 65 3 2 2" xfId="3563"/>
    <cellStyle name="Student Information 65 3 3" xfId="1485"/>
    <cellStyle name="Student Information 65 3 3 2" xfId="3564"/>
    <cellStyle name="Student Information 65 3 4" xfId="1486"/>
    <cellStyle name="Student Information 65 3 4 2" xfId="3565"/>
    <cellStyle name="Student Information 65 3 5" xfId="3562"/>
    <cellStyle name="Student Information 65 4" xfId="1487"/>
    <cellStyle name="Student Information 65 4 2" xfId="1488"/>
    <cellStyle name="Student Information 65 4 2 2" xfId="3567"/>
    <cellStyle name="Student Information 65 4 3" xfId="1489"/>
    <cellStyle name="Student Information 65 4 3 2" xfId="3568"/>
    <cellStyle name="Student Information 65 4 4" xfId="3566"/>
    <cellStyle name="Student Information 65 5" xfId="1490"/>
    <cellStyle name="Student Information 65 5 2" xfId="1491"/>
    <cellStyle name="Student Information 65 5 2 2" xfId="3570"/>
    <cellStyle name="Student Information 65 5 3" xfId="1492"/>
    <cellStyle name="Student Information 65 5 3 2" xfId="3571"/>
    <cellStyle name="Student Information 65 5 4" xfId="3569"/>
    <cellStyle name="Student Information 65 6" xfId="3558"/>
    <cellStyle name="Student Information 66" xfId="1493"/>
    <cellStyle name="Student Information 66 2" xfId="1494"/>
    <cellStyle name="Student Information 66 2 2" xfId="1495"/>
    <cellStyle name="Student Information 66 2 2 2" xfId="3574"/>
    <cellStyle name="Student Information 66 2 3" xfId="1496"/>
    <cellStyle name="Student Information 66 2 3 2" xfId="3575"/>
    <cellStyle name="Student Information 66 2 4" xfId="3573"/>
    <cellStyle name="Student Information 66 3" xfId="1497"/>
    <cellStyle name="Student Information 66 3 2" xfId="1498"/>
    <cellStyle name="Student Information 66 3 2 2" xfId="3577"/>
    <cellStyle name="Student Information 66 3 3" xfId="1499"/>
    <cellStyle name="Student Information 66 3 3 2" xfId="3578"/>
    <cellStyle name="Student Information 66 3 4" xfId="1500"/>
    <cellStyle name="Student Information 66 3 4 2" xfId="3579"/>
    <cellStyle name="Student Information 66 3 5" xfId="3576"/>
    <cellStyle name="Student Information 66 4" xfId="1501"/>
    <cellStyle name="Student Information 66 4 2" xfId="1502"/>
    <cellStyle name="Student Information 66 4 2 2" xfId="3581"/>
    <cellStyle name="Student Information 66 4 3" xfId="1503"/>
    <cellStyle name="Student Information 66 4 3 2" xfId="3582"/>
    <cellStyle name="Student Information 66 4 4" xfId="3580"/>
    <cellStyle name="Student Information 66 5" xfId="1504"/>
    <cellStyle name="Student Information 66 5 2" xfId="1505"/>
    <cellStyle name="Student Information 66 5 2 2" xfId="3584"/>
    <cellStyle name="Student Information 66 5 3" xfId="1506"/>
    <cellStyle name="Student Information 66 5 3 2" xfId="3585"/>
    <cellStyle name="Student Information 66 5 4" xfId="3583"/>
    <cellStyle name="Student Information 66 6" xfId="3572"/>
    <cellStyle name="Student Information 67" xfId="1507"/>
    <cellStyle name="Student Information 67 2" xfId="1508"/>
    <cellStyle name="Student Information 67 2 2" xfId="1509"/>
    <cellStyle name="Student Information 67 2 2 2" xfId="3588"/>
    <cellStyle name="Student Information 67 2 3" xfId="1510"/>
    <cellStyle name="Student Information 67 2 3 2" xfId="3589"/>
    <cellStyle name="Student Information 67 2 4" xfId="3587"/>
    <cellStyle name="Student Information 67 3" xfId="1511"/>
    <cellStyle name="Student Information 67 3 2" xfId="1512"/>
    <cellStyle name="Student Information 67 3 2 2" xfId="3591"/>
    <cellStyle name="Student Information 67 3 3" xfId="1513"/>
    <cellStyle name="Student Information 67 3 3 2" xfId="3592"/>
    <cellStyle name="Student Information 67 3 4" xfId="1514"/>
    <cellStyle name="Student Information 67 3 4 2" xfId="3593"/>
    <cellStyle name="Student Information 67 3 5" xfId="3590"/>
    <cellStyle name="Student Information 67 4" xfId="1515"/>
    <cellStyle name="Student Information 67 4 2" xfId="1516"/>
    <cellStyle name="Student Information 67 4 2 2" xfId="3595"/>
    <cellStyle name="Student Information 67 4 3" xfId="1517"/>
    <cellStyle name="Student Information 67 4 3 2" xfId="3596"/>
    <cellStyle name="Student Information 67 4 4" xfId="3594"/>
    <cellStyle name="Student Information 67 5" xfId="1518"/>
    <cellStyle name="Student Information 67 5 2" xfId="1519"/>
    <cellStyle name="Student Information 67 5 2 2" xfId="3598"/>
    <cellStyle name="Student Information 67 5 3" xfId="1520"/>
    <cellStyle name="Student Information 67 5 3 2" xfId="3599"/>
    <cellStyle name="Student Information 67 5 4" xfId="3597"/>
    <cellStyle name="Student Information 67 6" xfId="3586"/>
    <cellStyle name="Student Information 68" xfId="1521"/>
    <cellStyle name="Student Information 68 2" xfId="1522"/>
    <cellStyle name="Student Information 68 2 2" xfId="1523"/>
    <cellStyle name="Student Information 68 2 2 2" xfId="3602"/>
    <cellStyle name="Student Information 68 2 3" xfId="1524"/>
    <cellStyle name="Student Information 68 2 3 2" xfId="3603"/>
    <cellStyle name="Student Information 68 2 4" xfId="3601"/>
    <cellStyle name="Student Information 68 3" xfId="1525"/>
    <cellStyle name="Student Information 68 3 2" xfId="1526"/>
    <cellStyle name="Student Information 68 3 2 2" xfId="3605"/>
    <cellStyle name="Student Information 68 3 3" xfId="1527"/>
    <cellStyle name="Student Information 68 3 3 2" xfId="3606"/>
    <cellStyle name="Student Information 68 3 4" xfId="1528"/>
    <cellStyle name="Student Information 68 3 4 2" xfId="3607"/>
    <cellStyle name="Student Information 68 3 5" xfId="3604"/>
    <cellStyle name="Student Information 68 4" xfId="1529"/>
    <cellStyle name="Student Information 68 4 2" xfId="1530"/>
    <cellStyle name="Student Information 68 4 2 2" xfId="3609"/>
    <cellStyle name="Student Information 68 4 3" xfId="1531"/>
    <cellStyle name="Student Information 68 4 3 2" xfId="3610"/>
    <cellStyle name="Student Information 68 4 4" xfId="3608"/>
    <cellStyle name="Student Information 68 5" xfId="1532"/>
    <cellStyle name="Student Information 68 5 2" xfId="1533"/>
    <cellStyle name="Student Information 68 5 2 2" xfId="3612"/>
    <cellStyle name="Student Information 68 5 3" xfId="1534"/>
    <cellStyle name="Student Information 68 5 3 2" xfId="3613"/>
    <cellStyle name="Student Information 68 5 4" xfId="3611"/>
    <cellStyle name="Student Information 68 6" xfId="3600"/>
    <cellStyle name="Student Information 69" xfId="1535"/>
    <cellStyle name="Student Information 69 2" xfId="1536"/>
    <cellStyle name="Student Information 69 2 2" xfId="1537"/>
    <cellStyle name="Student Information 69 2 2 2" xfId="3616"/>
    <cellStyle name="Student Information 69 2 3" xfId="1538"/>
    <cellStyle name="Student Information 69 2 3 2" xfId="3617"/>
    <cellStyle name="Student Information 69 2 4" xfId="3615"/>
    <cellStyle name="Student Information 69 3" xfId="16"/>
    <cellStyle name="Student Information 69 3 2" xfId="1539"/>
    <cellStyle name="Student Information 69 3 2 2" xfId="3619"/>
    <cellStyle name="Student Information 69 3 3" xfId="1540"/>
    <cellStyle name="Student Information 69 3 3 2" xfId="3620"/>
    <cellStyle name="Student Information 69 3 4" xfId="1541"/>
    <cellStyle name="Student Information 69 3 4 2" xfId="3621"/>
    <cellStyle name="Student Information 69 3 5" xfId="3618"/>
    <cellStyle name="Student Information 69 4" xfId="1542"/>
    <cellStyle name="Student Information 69 4 2" xfId="1543"/>
    <cellStyle name="Student Information 69 4 2 2" xfId="3623"/>
    <cellStyle name="Student Information 69 4 3" xfId="1544"/>
    <cellStyle name="Student Information 69 4 3 2" xfId="3624"/>
    <cellStyle name="Student Information 69 4 4" xfId="3622"/>
    <cellStyle name="Student Information 69 5" xfId="1545"/>
    <cellStyle name="Student Information 69 5 2" xfId="1546"/>
    <cellStyle name="Student Information 69 5 2 2" xfId="3626"/>
    <cellStyle name="Student Information 69 5 3" xfId="1547"/>
    <cellStyle name="Student Information 69 5 3 2" xfId="3627"/>
    <cellStyle name="Student Information 69 5 4" xfId="3625"/>
    <cellStyle name="Student Information 69 6" xfId="3614"/>
    <cellStyle name="Student Information 7" xfId="1548"/>
    <cellStyle name="Student Information 7 2" xfId="1549"/>
    <cellStyle name="Student Information 7 2 2" xfId="1550"/>
    <cellStyle name="Student Information 7 2 2 2" xfId="1551"/>
    <cellStyle name="Student Information 7 2 2 2 2" xfId="3631"/>
    <cellStyle name="Student Information 7 2 2 3" xfId="3630"/>
    <cellStyle name="Student Information 7 2 3" xfId="1552"/>
    <cellStyle name="Student Information 7 2 3 2" xfId="1553"/>
    <cellStyle name="Student Information 7 2 3 2 2" xfId="3633"/>
    <cellStyle name="Student Information 7 2 3 3" xfId="3632"/>
    <cellStyle name="Student Information 7 2 4" xfId="3629"/>
    <cellStyle name="Student Information 7 3" xfId="1554"/>
    <cellStyle name="Student Information 7 3 2" xfId="1555"/>
    <cellStyle name="Student Information 7 3 2 2" xfId="3635"/>
    <cellStyle name="Student Information 7 3 3" xfId="1556"/>
    <cellStyle name="Student Information 7 3 3 2" xfId="3636"/>
    <cellStyle name="Student Information 7 3 4" xfId="3634"/>
    <cellStyle name="Student Information 7 4" xfId="1557"/>
    <cellStyle name="Student Information 7 4 2" xfId="1558"/>
    <cellStyle name="Student Information 7 4 2 2" xfId="3638"/>
    <cellStyle name="Student Information 7 4 3" xfId="1559"/>
    <cellStyle name="Student Information 7 4 3 2" xfId="3639"/>
    <cellStyle name="Student Information 7 4 4" xfId="3637"/>
    <cellStyle name="Student Information 7 5" xfId="1560"/>
    <cellStyle name="Student Information 7 5 2" xfId="1561"/>
    <cellStyle name="Student Information 7 5 2 2" xfId="3641"/>
    <cellStyle name="Student Information 7 5 3" xfId="1562"/>
    <cellStyle name="Student Information 7 5 3 2" xfId="3642"/>
    <cellStyle name="Student Information 7 5 4" xfId="3640"/>
    <cellStyle name="Student Information 7 6" xfId="1563"/>
    <cellStyle name="Student Information 7 6 2" xfId="1564"/>
    <cellStyle name="Student Information 7 6 2 2" xfId="3644"/>
    <cellStyle name="Student Information 7 6 3" xfId="1565"/>
    <cellStyle name="Student Information 7 6 3 2" xfId="3645"/>
    <cellStyle name="Student Information 7 6 4" xfId="3643"/>
    <cellStyle name="Student Information 7 7" xfId="3628"/>
    <cellStyle name="Student Information 70" xfId="1566"/>
    <cellStyle name="Student Information 70 2" xfId="1567"/>
    <cellStyle name="Student Information 70 2 2" xfId="1568"/>
    <cellStyle name="Student Information 70 2 2 2" xfId="3648"/>
    <cellStyle name="Student Information 70 2 3" xfId="1569"/>
    <cellStyle name="Student Information 70 2 3 2" xfId="3649"/>
    <cellStyle name="Student Information 70 2 4" xfId="3647"/>
    <cellStyle name="Student Information 70 3" xfId="1570"/>
    <cellStyle name="Student Information 70 3 2" xfId="1571"/>
    <cellStyle name="Student Information 70 3 2 2" xfId="3651"/>
    <cellStyle name="Student Information 70 3 3" xfId="1572"/>
    <cellStyle name="Student Information 70 3 3 2" xfId="3652"/>
    <cellStyle name="Student Information 70 3 4" xfId="1573"/>
    <cellStyle name="Student Information 70 3 4 2" xfId="3653"/>
    <cellStyle name="Student Information 70 3 5" xfId="3650"/>
    <cellStyle name="Student Information 70 4" xfId="1574"/>
    <cellStyle name="Student Information 70 4 2" xfId="1575"/>
    <cellStyle name="Student Information 70 4 2 2" xfId="3655"/>
    <cellStyle name="Student Information 70 4 3" xfId="1576"/>
    <cellStyle name="Student Information 70 4 3 2" xfId="3656"/>
    <cellStyle name="Student Information 70 4 4" xfId="3654"/>
    <cellStyle name="Student Information 70 5" xfId="1577"/>
    <cellStyle name="Student Information 70 5 2" xfId="1578"/>
    <cellStyle name="Student Information 70 5 2 2" xfId="3658"/>
    <cellStyle name="Student Information 70 5 3" xfId="1579"/>
    <cellStyle name="Student Information 70 5 3 2" xfId="3659"/>
    <cellStyle name="Student Information 70 5 4" xfId="3657"/>
    <cellStyle name="Student Information 70 6" xfId="3646"/>
    <cellStyle name="Student Information 71" xfId="1580"/>
    <cellStyle name="Student Information 71 2" xfId="1581"/>
    <cellStyle name="Student Information 71 2 2" xfId="1582"/>
    <cellStyle name="Student Information 71 2 2 2" xfId="3662"/>
    <cellStyle name="Student Information 71 2 3" xfId="1583"/>
    <cellStyle name="Student Information 71 2 3 2" xfId="3663"/>
    <cellStyle name="Student Information 71 2 4" xfId="3661"/>
    <cellStyle name="Student Information 71 3" xfId="1584"/>
    <cellStyle name="Student Information 71 3 2" xfId="1585"/>
    <cellStyle name="Student Information 71 3 2 2" xfId="3665"/>
    <cellStyle name="Student Information 71 3 3" xfId="1586"/>
    <cellStyle name="Student Information 71 3 3 2" xfId="3666"/>
    <cellStyle name="Student Information 71 3 4" xfId="1587"/>
    <cellStyle name="Student Information 71 3 4 2" xfId="3667"/>
    <cellStyle name="Student Information 71 3 5" xfId="3664"/>
    <cellStyle name="Student Information 71 4" xfId="1588"/>
    <cellStyle name="Student Information 71 4 2" xfId="1589"/>
    <cellStyle name="Student Information 71 4 2 2" xfId="3669"/>
    <cellStyle name="Student Information 71 4 3" xfId="1590"/>
    <cellStyle name="Student Information 71 4 3 2" xfId="3670"/>
    <cellStyle name="Student Information 71 4 4" xfId="3668"/>
    <cellStyle name="Student Information 71 5" xfId="1591"/>
    <cellStyle name="Student Information 71 5 2" xfId="1592"/>
    <cellStyle name="Student Information 71 5 2 2" xfId="3672"/>
    <cellStyle name="Student Information 71 5 3" xfId="1593"/>
    <cellStyle name="Student Information 71 5 3 2" xfId="3673"/>
    <cellStyle name="Student Information 71 5 4" xfId="3671"/>
    <cellStyle name="Student Information 71 6" xfId="3660"/>
    <cellStyle name="Student Information 72" xfId="1594"/>
    <cellStyle name="Student Information 72 2" xfId="1595"/>
    <cellStyle name="Student Information 72 2 2" xfId="1596"/>
    <cellStyle name="Student Information 72 2 2 2" xfId="3676"/>
    <cellStyle name="Student Information 72 2 3" xfId="1597"/>
    <cellStyle name="Student Information 72 2 3 2" xfId="3677"/>
    <cellStyle name="Student Information 72 2 4" xfId="3675"/>
    <cellStyle name="Student Information 72 3" xfId="1598"/>
    <cellStyle name="Student Information 72 3 2" xfId="1599"/>
    <cellStyle name="Student Information 72 3 2 2" xfId="3679"/>
    <cellStyle name="Student Information 72 3 3" xfId="1600"/>
    <cellStyle name="Student Information 72 3 3 2" xfId="3680"/>
    <cellStyle name="Student Information 72 3 4" xfId="3678"/>
    <cellStyle name="Student Information 72 4" xfId="1601"/>
    <cellStyle name="Student Information 72 4 2" xfId="1602"/>
    <cellStyle name="Student Information 72 4 2 2" xfId="3682"/>
    <cellStyle name="Student Information 72 4 3" xfId="1603"/>
    <cellStyle name="Student Information 72 4 3 2" xfId="3683"/>
    <cellStyle name="Student Information 72 4 4" xfId="3681"/>
    <cellStyle name="Student Information 72 5" xfId="1604"/>
    <cellStyle name="Student Information 72 5 2" xfId="1605"/>
    <cellStyle name="Student Information 72 5 2 2" xfId="3685"/>
    <cellStyle name="Student Information 72 5 3" xfId="1606"/>
    <cellStyle name="Student Information 72 5 3 2" xfId="3686"/>
    <cellStyle name="Student Information 72 5 4" xfId="3684"/>
    <cellStyle name="Student Information 72 6" xfId="3674"/>
    <cellStyle name="Student Information 73" xfId="1607"/>
    <cellStyle name="Student Information 73 2" xfId="1608"/>
    <cellStyle name="Student Information 73 2 2" xfId="1609"/>
    <cellStyle name="Student Information 73 2 2 2" xfId="3689"/>
    <cellStyle name="Student Information 73 2 3" xfId="1610"/>
    <cellStyle name="Student Information 73 2 3 2" xfId="3690"/>
    <cellStyle name="Student Information 73 2 4" xfId="3688"/>
    <cellStyle name="Student Information 73 3" xfId="1611"/>
    <cellStyle name="Student Information 73 3 2" xfId="1612"/>
    <cellStyle name="Student Information 73 3 2 2" xfId="3692"/>
    <cellStyle name="Student Information 73 3 3" xfId="1613"/>
    <cellStyle name="Student Information 73 3 3 2" xfId="3693"/>
    <cellStyle name="Student Information 73 3 4" xfId="3691"/>
    <cellStyle name="Student Information 73 4" xfId="1614"/>
    <cellStyle name="Student Information 73 4 2" xfId="1615"/>
    <cellStyle name="Student Information 73 4 2 2" xfId="3695"/>
    <cellStyle name="Student Information 73 4 3" xfId="1616"/>
    <cellStyle name="Student Information 73 4 3 2" xfId="3696"/>
    <cellStyle name="Student Information 73 4 4" xfId="3694"/>
    <cellStyle name="Student Information 73 5" xfId="1617"/>
    <cellStyle name="Student Information 73 5 2" xfId="1618"/>
    <cellStyle name="Student Information 73 5 2 2" xfId="3698"/>
    <cellStyle name="Student Information 73 5 3" xfId="1619"/>
    <cellStyle name="Student Information 73 5 3 2" xfId="3699"/>
    <cellStyle name="Student Information 73 5 4" xfId="3697"/>
    <cellStyle name="Student Information 73 6" xfId="3687"/>
    <cellStyle name="Student Information 74" xfId="1620"/>
    <cellStyle name="Student Information 74 2" xfId="1621"/>
    <cellStyle name="Student Information 74 2 2" xfId="1622"/>
    <cellStyle name="Student Information 74 2 2 2" xfId="3702"/>
    <cellStyle name="Student Information 74 2 3" xfId="1623"/>
    <cellStyle name="Student Information 74 2 3 2" xfId="3703"/>
    <cellStyle name="Student Information 74 2 4" xfId="3701"/>
    <cellStyle name="Student Information 74 3" xfId="1624"/>
    <cellStyle name="Student Information 74 3 2" xfId="1625"/>
    <cellStyle name="Student Information 74 3 2 2" xfId="3705"/>
    <cellStyle name="Student Information 74 3 3" xfId="1626"/>
    <cellStyle name="Student Information 74 3 3 2" xfId="3706"/>
    <cellStyle name="Student Information 74 3 4" xfId="3704"/>
    <cellStyle name="Student Information 74 4" xfId="1627"/>
    <cellStyle name="Student Information 74 4 2" xfId="1628"/>
    <cellStyle name="Student Information 74 4 2 2" xfId="3708"/>
    <cellStyle name="Student Information 74 4 3" xfId="1629"/>
    <cellStyle name="Student Information 74 4 3 2" xfId="3709"/>
    <cellStyle name="Student Information 74 4 4" xfId="3707"/>
    <cellStyle name="Student Information 74 5" xfId="1630"/>
    <cellStyle name="Student Information 74 5 2" xfId="1631"/>
    <cellStyle name="Student Information 74 5 2 2" xfId="3711"/>
    <cellStyle name="Student Information 74 5 3" xfId="1632"/>
    <cellStyle name="Student Information 74 5 3 2" xfId="3712"/>
    <cellStyle name="Student Information 74 5 4" xfId="3710"/>
    <cellStyle name="Student Information 74 6" xfId="3700"/>
    <cellStyle name="Student Information 75" xfId="1633"/>
    <cellStyle name="Student Information 75 2" xfId="1634"/>
    <cellStyle name="Student Information 75 2 2" xfId="1635"/>
    <cellStyle name="Student Information 75 2 2 2" xfId="3715"/>
    <cellStyle name="Student Information 75 2 3" xfId="1636"/>
    <cellStyle name="Student Information 75 2 3 2" xfId="3716"/>
    <cellStyle name="Student Information 75 2 4" xfId="3714"/>
    <cellStyle name="Student Information 75 3" xfId="1637"/>
    <cellStyle name="Student Information 75 3 2" xfId="1638"/>
    <cellStyle name="Student Information 75 3 2 2" xfId="3718"/>
    <cellStyle name="Student Information 75 3 3" xfId="1639"/>
    <cellStyle name="Student Information 75 3 3 2" xfId="3719"/>
    <cellStyle name="Student Information 75 3 4" xfId="1640"/>
    <cellStyle name="Student Information 75 3 4 2" xfId="3720"/>
    <cellStyle name="Student Information 75 3 5" xfId="3717"/>
    <cellStyle name="Student Information 75 4" xfId="1641"/>
    <cellStyle name="Student Information 75 4 2" xfId="1642"/>
    <cellStyle name="Student Information 75 4 2 2" xfId="3722"/>
    <cellStyle name="Student Information 75 4 3" xfId="1643"/>
    <cellStyle name="Student Information 75 4 3 2" xfId="3723"/>
    <cellStyle name="Student Information 75 4 4" xfId="3721"/>
    <cellStyle name="Student Information 75 5" xfId="1644"/>
    <cellStyle name="Student Information 75 5 2" xfId="1645"/>
    <cellStyle name="Student Information 75 5 2 2" xfId="3725"/>
    <cellStyle name="Student Information 75 5 3" xfId="1646"/>
    <cellStyle name="Student Information 75 5 3 2" xfId="3726"/>
    <cellStyle name="Student Information 75 5 4" xfId="3724"/>
    <cellStyle name="Student Information 75 6" xfId="3713"/>
    <cellStyle name="Student Information 76" xfId="1647"/>
    <cellStyle name="Student Information 76 2" xfId="1648"/>
    <cellStyle name="Student Information 76 2 2" xfId="1649"/>
    <cellStyle name="Student Information 76 2 2 2" xfId="3729"/>
    <cellStyle name="Student Information 76 2 3" xfId="1650"/>
    <cellStyle name="Student Information 76 2 3 2" xfId="3730"/>
    <cellStyle name="Student Information 76 2 4" xfId="3728"/>
    <cellStyle name="Student Information 76 3" xfId="1651"/>
    <cellStyle name="Student Information 76 3 2" xfId="1652"/>
    <cellStyle name="Student Information 76 3 2 2" xfId="3732"/>
    <cellStyle name="Student Information 76 3 3" xfId="1653"/>
    <cellStyle name="Student Information 76 3 3 2" xfId="3733"/>
    <cellStyle name="Student Information 76 3 4" xfId="1654"/>
    <cellStyle name="Student Information 76 3 4 2" xfId="3734"/>
    <cellStyle name="Student Information 76 3 5" xfId="3731"/>
    <cellStyle name="Student Information 76 4" xfId="1655"/>
    <cellStyle name="Student Information 76 4 2" xfId="1656"/>
    <cellStyle name="Student Information 76 4 2 2" xfId="3736"/>
    <cellStyle name="Student Information 76 4 3" xfId="1657"/>
    <cellStyle name="Student Information 76 4 3 2" xfId="3737"/>
    <cellStyle name="Student Information 76 4 4" xfId="3735"/>
    <cellStyle name="Student Information 76 5" xfId="1658"/>
    <cellStyle name="Student Information 76 5 2" xfId="1659"/>
    <cellStyle name="Student Information 76 5 2 2" xfId="3739"/>
    <cellStyle name="Student Information 76 5 3" xfId="1660"/>
    <cellStyle name="Student Information 76 5 3 2" xfId="3740"/>
    <cellStyle name="Student Information 76 5 4" xfId="3738"/>
    <cellStyle name="Student Information 76 6" xfId="3727"/>
    <cellStyle name="Student Information 77" xfId="1661"/>
    <cellStyle name="Student Information 77 2" xfId="1662"/>
    <cellStyle name="Student Information 77 2 2" xfId="1663"/>
    <cellStyle name="Student Information 77 2 2 2" xfId="3743"/>
    <cellStyle name="Student Information 77 2 3" xfId="1664"/>
    <cellStyle name="Student Information 77 2 3 2" xfId="3744"/>
    <cellStyle name="Student Information 77 2 4" xfId="3742"/>
    <cellStyle name="Student Information 77 3" xfId="1665"/>
    <cellStyle name="Student Information 77 3 2" xfId="1666"/>
    <cellStyle name="Student Information 77 3 2 2" xfId="3746"/>
    <cellStyle name="Student Information 77 3 3" xfId="1667"/>
    <cellStyle name="Student Information 77 3 3 2" xfId="3747"/>
    <cellStyle name="Student Information 77 3 4" xfId="1668"/>
    <cellStyle name="Student Information 77 3 4 2" xfId="3748"/>
    <cellStyle name="Student Information 77 3 5" xfId="3745"/>
    <cellStyle name="Student Information 77 4" xfId="1669"/>
    <cellStyle name="Student Information 77 4 2" xfId="1670"/>
    <cellStyle name="Student Information 77 4 2 2" xfId="3750"/>
    <cellStyle name="Student Information 77 4 3" xfId="1671"/>
    <cellStyle name="Student Information 77 4 3 2" xfId="3751"/>
    <cellStyle name="Student Information 77 4 4" xfId="3749"/>
    <cellStyle name="Student Information 77 5" xfId="1672"/>
    <cellStyle name="Student Information 77 5 2" xfId="1673"/>
    <cellStyle name="Student Information 77 5 2 2" xfId="3753"/>
    <cellStyle name="Student Information 77 5 3" xfId="1674"/>
    <cellStyle name="Student Information 77 5 3 2" xfId="3754"/>
    <cellStyle name="Student Information 77 5 4" xfId="3752"/>
    <cellStyle name="Student Information 77 6" xfId="3741"/>
    <cellStyle name="Student Information 78" xfId="1675"/>
    <cellStyle name="Student Information 78 2" xfId="1676"/>
    <cellStyle name="Student Information 78 2 2" xfId="1677"/>
    <cellStyle name="Student Information 78 2 2 2" xfId="3757"/>
    <cellStyle name="Student Information 78 2 3" xfId="1678"/>
    <cellStyle name="Student Information 78 2 3 2" xfId="3758"/>
    <cellStyle name="Student Information 78 2 4" xfId="3756"/>
    <cellStyle name="Student Information 78 3" xfId="1679"/>
    <cellStyle name="Student Information 78 3 2" xfId="1680"/>
    <cellStyle name="Student Information 78 3 2 2" xfId="3760"/>
    <cellStyle name="Student Information 78 3 3" xfId="1681"/>
    <cellStyle name="Student Information 78 3 3 2" xfId="3761"/>
    <cellStyle name="Student Information 78 3 4" xfId="1682"/>
    <cellStyle name="Student Information 78 3 4 2" xfId="3762"/>
    <cellStyle name="Student Information 78 3 5" xfId="3759"/>
    <cellStyle name="Student Information 78 4" xfId="1683"/>
    <cellStyle name="Student Information 78 4 2" xfId="1684"/>
    <cellStyle name="Student Information 78 4 2 2" xfId="3764"/>
    <cellStyle name="Student Information 78 4 3" xfId="1685"/>
    <cellStyle name="Student Information 78 4 3 2" xfId="3765"/>
    <cellStyle name="Student Information 78 4 4" xfId="3763"/>
    <cellStyle name="Student Information 78 5" xfId="1686"/>
    <cellStyle name="Student Information 78 5 2" xfId="1687"/>
    <cellStyle name="Student Information 78 5 2 2" xfId="3767"/>
    <cellStyle name="Student Information 78 5 3" xfId="1688"/>
    <cellStyle name="Student Information 78 5 3 2" xfId="3768"/>
    <cellStyle name="Student Information 78 5 4" xfId="3766"/>
    <cellStyle name="Student Information 78 6" xfId="3755"/>
    <cellStyle name="Student Information 79" xfId="1689"/>
    <cellStyle name="Student Information 79 2" xfId="1690"/>
    <cellStyle name="Student Information 79 2 2" xfId="1691"/>
    <cellStyle name="Student Information 79 2 2 2" xfId="3771"/>
    <cellStyle name="Student Information 79 2 3" xfId="1692"/>
    <cellStyle name="Student Information 79 2 3 2" xfId="3772"/>
    <cellStyle name="Student Information 79 2 4" xfId="3770"/>
    <cellStyle name="Student Information 79 3" xfId="1693"/>
    <cellStyle name="Student Information 79 3 2" xfId="1694"/>
    <cellStyle name="Student Information 79 3 2 2" xfId="3774"/>
    <cellStyle name="Student Information 79 3 3" xfId="1695"/>
    <cellStyle name="Student Information 79 3 3 2" xfId="3775"/>
    <cellStyle name="Student Information 79 3 4" xfId="1696"/>
    <cellStyle name="Student Information 79 3 4 2" xfId="3776"/>
    <cellStyle name="Student Information 79 3 5" xfId="3773"/>
    <cellStyle name="Student Information 79 4" xfId="1697"/>
    <cellStyle name="Student Information 79 4 2" xfId="1698"/>
    <cellStyle name="Student Information 79 4 2 2" xfId="3778"/>
    <cellStyle name="Student Information 79 4 3" xfId="1699"/>
    <cellStyle name="Student Information 79 4 3 2" xfId="3779"/>
    <cellStyle name="Student Information 79 4 4" xfId="3777"/>
    <cellStyle name="Student Information 79 5" xfId="1700"/>
    <cellStyle name="Student Information 79 5 2" xfId="1701"/>
    <cellStyle name="Student Information 79 5 2 2" xfId="3781"/>
    <cellStyle name="Student Information 79 5 3" xfId="1702"/>
    <cellStyle name="Student Information 79 5 3 2" xfId="3782"/>
    <cellStyle name="Student Information 79 5 4" xfId="3780"/>
    <cellStyle name="Student Information 79 6" xfId="3769"/>
    <cellStyle name="Student Information 8" xfId="1703"/>
    <cellStyle name="Student Information 8 2" xfId="1704"/>
    <cellStyle name="Student Information 8 2 2" xfId="1705"/>
    <cellStyle name="Student Information 8 2 2 2" xfId="1706"/>
    <cellStyle name="Student Information 8 2 2 2 2" xfId="3786"/>
    <cellStyle name="Student Information 8 2 2 3" xfId="3785"/>
    <cellStyle name="Student Information 8 2 3" xfId="1707"/>
    <cellStyle name="Student Information 8 2 3 2" xfId="1708"/>
    <cellStyle name="Student Information 8 2 3 2 2" xfId="3788"/>
    <cellStyle name="Student Information 8 2 3 3" xfId="3787"/>
    <cellStyle name="Student Information 8 2 4" xfId="3784"/>
    <cellStyle name="Student Information 8 3" xfId="1709"/>
    <cellStyle name="Student Information 8 3 2" xfId="1710"/>
    <cellStyle name="Student Information 8 3 2 2" xfId="3790"/>
    <cellStyle name="Student Information 8 3 3" xfId="1711"/>
    <cellStyle name="Student Information 8 3 3 2" xfId="3791"/>
    <cellStyle name="Student Information 8 3 4" xfId="3789"/>
    <cellStyle name="Student Information 8 4" xfId="1712"/>
    <cellStyle name="Student Information 8 4 2" xfId="1713"/>
    <cellStyle name="Student Information 8 4 2 2" xfId="3793"/>
    <cellStyle name="Student Information 8 4 3" xfId="1714"/>
    <cellStyle name="Student Information 8 4 3 2" xfId="3794"/>
    <cellStyle name="Student Information 8 4 4" xfId="3792"/>
    <cellStyle name="Student Information 8 5" xfId="1715"/>
    <cellStyle name="Student Information 8 5 2" xfId="1716"/>
    <cellStyle name="Student Information 8 5 2 2" xfId="3796"/>
    <cellStyle name="Student Information 8 5 3" xfId="1717"/>
    <cellStyle name="Student Information 8 5 3 2" xfId="3797"/>
    <cellStyle name="Student Information 8 5 4" xfId="3795"/>
    <cellStyle name="Student Information 8 6" xfId="1718"/>
    <cellStyle name="Student Information 8 6 2" xfId="1719"/>
    <cellStyle name="Student Information 8 6 2 2" xfId="3799"/>
    <cellStyle name="Student Information 8 6 3" xfId="1720"/>
    <cellStyle name="Student Information 8 6 3 2" xfId="3800"/>
    <cellStyle name="Student Information 8 6 4" xfId="3798"/>
    <cellStyle name="Student Information 8 7" xfId="3783"/>
    <cellStyle name="Student Information 80" xfId="1721"/>
    <cellStyle name="Student Information 80 2" xfId="1722"/>
    <cellStyle name="Student Information 80 2 2" xfId="1723"/>
    <cellStyle name="Student Information 80 2 2 2" xfId="3803"/>
    <cellStyle name="Student Information 80 2 3" xfId="1724"/>
    <cellStyle name="Student Information 80 2 3 2" xfId="3804"/>
    <cellStyle name="Student Information 80 2 4" xfId="3802"/>
    <cellStyle name="Student Information 80 3" xfId="1725"/>
    <cellStyle name="Student Information 80 3 2" xfId="1726"/>
    <cellStyle name="Student Information 80 3 2 2" xfId="3806"/>
    <cellStyle name="Student Information 80 3 3" xfId="1727"/>
    <cellStyle name="Student Information 80 3 3 2" xfId="3807"/>
    <cellStyle name="Student Information 80 3 4" xfId="1728"/>
    <cellStyle name="Student Information 80 3 4 2" xfId="3808"/>
    <cellStyle name="Student Information 80 3 5" xfId="3805"/>
    <cellStyle name="Student Information 80 4" xfId="1729"/>
    <cellStyle name="Student Information 80 4 2" xfId="1730"/>
    <cellStyle name="Student Information 80 4 2 2" xfId="3810"/>
    <cellStyle name="Student Information 80 4 3" xfId="1731"/>
    <cellStyle name="Student Information 80 4 3 2" xfId="3811"/>
    <cellStyle name="Student Information 80 4 4" xfId="3809"/>
    <cellStyle name="Student Information 80 5" xfId="1732"/>
    <cellStyle name="Student Information 80 5 2" xfId="1733"/>
    <cellStyle name="Student Information 80 5 2 2" xfId="3813"/>
    <cellStyle name="Student Information 80 5 3" xfId="1734"/>
    <cellStyle name="Student Information 80 5 3 2" xfId="3814"/>
    <cellStyle name="Student Information 80 5 4" xfId="3812"/>
    <cellStyle name="Student Information 80 6" xfId="3801"/>
    <cellStyle name="Student Information 81" xfId="1735"/>
    <cellStyle name="Student Information 81 2" xfId="1736"/>
    <cellStyle name="Student Information 81 2 2" xfId="1737"/>
    <cellStyle name="Student Information 81 2 2 2" xfId="3817"/>
    <cellStyle name="Student Information 81 2 3" xfId="1738"/>
    <cellStyle name="Student Information 81 2 3 2" xfId="3818"/>
    <cellStyle name="Student Information 81 2 4" xfId="3816"/>
    <cellStyle name="Student Information 81 3" xfId="1739"/>
    <cellStyle name="Student Information 81 3 2" xfId="1740"/>
    <cellStyle name="Student Information 81 3 2 2" xfId="3820"/>
    <cellStyle name="Student Information 81 3 3" xfId="1741"/>
    <cellStyle name="Student Information 81 3 3 2" xfId="3821"/>
    <cellStyle name="Student Information 81 3 4" xfId="1742"/>
    <cellStyle name="Student Information 81 3 4 2" xfId="3822"/>
    <cellStyle name="Student Information 81 3 5" xfId="3819"/>
    <cellStyle name="Student Information 81 4" xfId="1743"/>
    <cellStyle name="Student Information 81 4 2" xfId="1744"/>
    <cellStyle name="Student Information 81 4 2 2" xfId="3824"/>
    <cellStyle name="Student Information 81 4 3" xfId="1745"/>
    <cellStyle name="Student Information 81 4 3 2" xfId="3825"/>
    <cellStyle name="Student Information 81 4 4" xfId="3823"/>
    <cellStyle name="Student Information 81 5" xfId="1746"/>
    <cellStyle name="Student Information 81 5 2" xfId="1747"/>
    <cellStyle name="Student Information 81 5 2 2" xfId="3827"/>
    <cellStyle name="Student Information 81 5 3" xfId="1748"/>
    <cellStyle name="Student Information 81 5 3 2" xfId="3828"/>
    <cellStyle name="Student Information 81 5 4" xfId="3826"/>
    <cellStyle name="Student Information 81 6" xfId="3815"/>
    <cellStyle name="Student Information 82" xfId="1749"/>
    <cellStyle name="Student Information 82 2" xfId="1750"/>
    <cellStyle name="Student Information 82 2 2" xfId="1751"/>
    <cellStyle name="Student Information 82 2 2 2" xfId="3831"/>
    <cellStyle name="Student Information 82 2 3" xfId="1752"/>
    <cellStyle name="Student Information 82 2 3 2" xfId="3832"/>
    <cellStyle name="Student Information 82 2 4" xfId="3830"/>
    <cellStyle name="Student Information 82 3" xfId="1753"/>
    <cellStyle name="Student Information 82 3 2" xfId="1754"/>
    <cellStyle name="Student Information 82 3 2 2" xfId="3834"/>
    <cellStyle name="Student Information 82 3 3" xfId="1755"/>
    <cellStyle name="Student Information 82 3 3 2" xfId="3835"/>
    <cellStyle name="Student Information 82 3 4" xfId="1756"/>
    <cellStyle name="Student Information 82 3 4 2" xfId="3836"/>
    <cellStyle name="Student Information 82 3 5" xfId="3833"/>
    <cellStyle name="Student Information 82 4" xfId="1757"/>
    <cellStyle name="Student Information 82 4 2" xfId="1758"/>
    <cellStyle name="Student Information 82 4 2 2" xfId="3838"/>
    <cellStyle name="Student Information 82 4 3" xfId="1759"/>
    <cellStyle name="Student Information 82 4 3 2" xfId="3839"/>
    <cellStyle name="Student Information 82 4 4" xfId="3837"/>
    <cellStyle name="Student Information 82 5" xfId="1760"/>
    <cellStyle name="Student Information 82 5 2" xfId="1761"/>
    <cellStyle name="Student Information 82 5 2 2" xfId="3841"/>
    <cellStyle name="Student Information 82 5 3" xfId="1762"/>
    <cellStyle name="Student Information 82 5 3 2" xfId="3842"/>
    <cellStyle name="Student Information 82 5 4" xfId="3840"/>
    <cellStyle name="Student Information 82 6" xfId="3829"/>
    <cellStyle name="Student Information 83" xfId="1763"/>
    <cellStyle name="Student Information 83 2" xfId="1764"/>
    <cellStyle name="Student Information 83 2 2" xfId="1765"/>
    <cellStyle name="Student Information 83 2 2 2" xfId="3845"/>
    <cellStyle name="Student Information 83 2 3" xfId="1766"/>
    <cellStyle name="Student Information 83 2 3 2" xfId="3846"/>
    <cellStyle name="Student Information 83 2 4" xfId="3844"/>
    <cellStyle name="Student Information 83 3" xfId="1767"/>
    <cellStyle name="Student Information 83 3 2" xfId="1768"/>
    <cellStyle name="Student Information 83 3 2 2" xfId="3848"/>
    <cellStyle name="Student Information 83 3 3" xfId="1769"/>
    <cellStyle name="Student Information 83 3 3 2" xfId="3849"/>
    <cellStyle name="Student Information 83 3 4" xfId="1770"/>
    <cellStyle name="Student Information 83 3 4 2" xfId="3850"/>
    <cellStyle name="Student Information 83 3 5" xfId="3847"/>
    <cellStyle name="Student Information 83 4" xfId="1771"/>
    <cellStyle name="Student Information 83 4 2" xfId="1772"/>
    <cellStyle name="Student Information 83 4 2 2" xfId="3852"/>
    <cellStyle name="Student Information 83 4 3" xfId="1773"/>
    <cellStyle name="Student Information 83 4 3 2" xfId="3853"/>
    <cellStyle name="Student Information 83 4 4" xfId="3851"/>
    <cellStyle name="Student Information 83 5" xfId="1774"/>
    <cellStyle name="Student Information 83 5 2" xfId="1775"/>
    <cellStyle name="Student Information 83 5 2 2" xfId="3855"/>
    <cellStyle name="Student Information 83 5 3" xfId="1776"/>
    <cellStyle name="Student Information 83 5 3 2" xfId="3856"/>
    <cellStyle name="Student Information 83 5 4" xfId="3854"/>
    <cellStyle name="Student Information 83 6" xfId="3843"/>
    <cellStyle name="Student Information 84" xfId="1777"/>
    <cellStyle name="Student Information 84 2" xfId="1778"/>
    <cellStyle name="Student Information 84 2 2" xfId="1779"/>
    <cellStyle name="Student Information 84 2 2 2" xfId="3859"/>
    <cellStyle name="Student Information 84 2 3" xfId="1780"/>
    <cellStyle name="Student Information 84 2 3 2" xfId="3860"/>
    <cellStyle name="Student Information 84 2 4" xfId="3858"/>
    <cellStyle name="Student Information 84 3" xfId="1781"/>
    <cellStyle name="Student Information 84 3 2" xfId="1782"/>
    <cellStyle name="Student Information 84 3 2 2" xfId="3862"/>
    <cellStyle name="Student Information 84 3 3" xfId="1783"/>
    <cellStyle name="Student Information 84 3 3 2" xfId="3863"/>
    <cellStyle name="Student Information 84 3 4" xfId="1784"/>
    <cellStyle name="Student Information 84 3 4 2" xfId="3864"/>
    <cellStyle name="Student Information 84 3 5" xfId="3861"/>
    <cellStyle name="Student Information 84 4" xfId="1785"/>
    <cellStyle name="Student Information 84 4 2" xfId="1786"/>
    <cellStyle name="Student Information 84 4 2 2" xfId="3866"/>
    <cellStyle name="Student Information 84 4 3" xfId="1787"/>
    <cellStyle name="Student Information 84 4 3 2" xfId="3867"/>
    <cellStyle name="Student Information 84 4 4" xfId="3865"/>
    <cellStyle name="Student Information 84 5" xfId="1788"/>
    <cellStyle name="Student Information 84 5 2" xfId="1789"/>
    <cellStyle name="Student Information 84 5 2 2" xfId="3869"/>
    <cellStyle name="Student Information 84 5 3" xfId="1790"/>
    <cellStyle name="Student Information 84 5 3 2" xfId="3870"/>
    <cellStyle name="Student Information 84 5 4" xfId="3868"/>
    <cellStyle name="Student Information 84 6" xfId="3857"/>
    <cellStyle name="Student Information 85" xfId="1791"/>
    <cellStyle name="Student Information 85 2" xfId="1792"/>
    <cellStyle name="Student Information 85 2 2" xfId="1793"/>
    <cellStyle name="Student Information 85 2 2 2" xfId="3873"/>
    <cellStyle name="Student Information 85 2 3" xfId="1794"/>
    <cellStyle name="Student Information 85 2 3 2" xfId="3874"/>
    <cellStyle name="Student Information 85 2 4" xfId="3872"/>
    <cellStyle name="Student Information 85 3" xfId="1795"/>
    <cellStyle name="Student Information 85 3 2" xfId="1796"/>
    <cellStyle name="Student Information 85 3 2 2" xfId="3876"/>
    <cellStyle name="Student Information 85 3 3" xfId="1797"/>
    <cellStyle name="Student Information 85 3 3 2" xfId="3877"/>
    <cellStyle name="Student Information 85 3 4" xfId="1798"/>
    <cellStyle name="Student Information 85 3 4 2" xfId="3878"/>
    <cellStyle name="Student Information 85 3 5" xfId="3875"/>
    <cellStyle name="Student Information 85 4" xfId="1799"/>
    <cellStyle name="Student Information 85 4 2" xfId="1800"/>
    <cellStyle name="Student Information 85 4 2 2" xfId="3880"/>
    <cellStyle name="Student Information 85 4 3" xfId="1801"/>
    <cellStyle name="Student Information 85 4 3 2" xfId="3881"/>
    <cellStyle name="Student Information 85 4 4" xfId="3879"/>
    <cellStyle name="Student Information 85 5" xfId="1802"/>
    <cellStyle name="Student Information 85 5 2" xfId="1803"/>
    <cellStyle name="Student Information 85 5 2 2" xfId="3883"/>
    <cellStyle name="Student Information 85 5 3" xfId="1804"/>
    <cellStyle name="Student Information 85 5 3 2" xfId="3884"/>
    <cellStyle name="Student Information 85 5 4" xfId="3882"/>
    <cellStyle name="Student Information 85 6" xfId="3871"/>
    <cellStyle name="Student Information 86" xfId="1805"/>
    <cellStyle name="Student Information 86 2" xfId="1806"/>
    <cellStyle name="Student Information 86 2 2" xfId="1807"/>
    <cellStyle name="Student Information 86 2 2 2" xfId="3887"/>
    <cellStyle name="Student Information 86 2 3" xfId="1808"/>
    <cellStyle name="Student Information 86 2 3 2" xfId="3888"/>
    <cellStyle name="Student Information 86 2 4" xfId="3886"/>
    <cellStyle name="Student Information 86 3" xfId="1809"/>
    <cellStyle name="Student Information 86 3 2" xfId="1810"/>
    <cellStyle name="Student Information 86 3 2 2" xfId="3890"/>
    <cellStyle name="Student Information 86 3 3" xfId="1811"/>
    <cellStyle name="Student Information 86 3 3 2" xfId="3891"/>
    <cellStyle name="Student Information 86 3 4" xfId="1812"/>
    <cellStyle name="Student Information 86 3 4 2" xfId="3892"/>
    <cellStyle name="Student Information 86 3 5" xfId="3889"/>
    <cellStyle name="Student Information 86 4" xfId="1813"/>
    <cellStyle name="Student Information 86 4 2" xfId="1814"/>
    <cellStyle name="Student Information 86 4 2 2" xfId="3894"/>
    <cellStyle name="Student Information 86 4 3" xfId="1815"/>
    <cellStyle name="Student Information 86 4 3 2" xfId="3895"/>
    <cellStyle name="Student Information 86 4 4" xfId="3893"/>
    <cellStyle name="Student Information 86 5" xfId="1816"/>
    <cellStyle name="Student Information 86 5 2" xfId="1817"/>
    <cellStyle name="Student Information 86 5 2 2" xfId="3897"/>
    <cellStyle name="Student Information 86 5 3" xfId="1818"/>
    <cellStyle name="Student Information 86 5 3 2" xfId="3898"/>
    <cellStyle name="Student Information 86 5 4" xfId="3896"/>
    <cellStyle name="Student Information 86 6" xfId="3885"/>
    <cellStyle name="Student Information 87" xfId="1819"/>
    <cellStyle name="Student Information 87 2" xfId="1820"/>
    <cellStyle name="Student Information 87 2 2" xfId="1821"/>
    <cellStyle name="Student Information 87 2 2 2" xfId="3901"/>
    <cellStyle name="Student Information 87 2 3" xfId="1822"/>
    <cellStyle name="Student Information 87 2 3 2" xfId="3902"/>
    <cellStyle name="Student Information 87 2 4" xfId="3900"/>
    <cellStyle name="Student Information 87 3" xfId="1823"/>
    <cellStyle name="Student Information 87 3 2" xfId="1824"/>
    <cellStyle name="Student Information 87 3 2 2" xfId="3904"/>
    <cellStyle name="Student Information 87 3 3" xfId="1825"/>
    <cellStyle name="Student Information 87 3 3 2" xfId="3905"/>
    <cellStyle name="Student Information 87 3 4" xfId="1826"/>
    <cellStyle name="Student Information 87 3 4 2" xfId="3906"/>
    <cellStyle name="Student Information 87 3 5" xfId="3903"/>
    <cellStyle name="Student Information 87 4" xfId="1827"/>
    <cellStyle name="Student Information 87 4 2" xfId="1828"/>
    <cellStyle name="Student Information 87 4 2 2" xfId="3908"/>
    <cellStyle name="Student Information 87 4 3" xfId="1829"/>
    <cellStyle name="Student Information 87 4 3 2" xfId="3909"/>
    <cellStyle name="Student Information 87 4 4" xfId="3907"/>
    <cellStyle name="Student Information 87 5" xfId="1830"/>
    <cellStyle name="Student Information 87 5 2" xfId="1831"/>
    <cellStyle name="Student Information 87 5 2 2" xfId="3911"/>
    <cellStyle name="Student Information 87 5 3" xfId="1832"/>
    <cellStyle name="Student Information 87 5 3 2" xfId="3912"/>
    <cellStyle name="Student Information 87 5 4" xfId="3910"/>
    <cellStyle name="Student Information 87 6" xfId="3899"/>
    <cellStyle name="Student Information 88" xfId="1833"/>
    <cellStyle name="Student Information 88 2" xfId="1834"/>
    <cellStyle name="Student Information 88 2 2" xfId="1835"/>
    <cellStyle name="Student Information 88 2 2 2" xfId="3915"/>
    <cellStyle name="Student Information 88 2 3" xfId="1836"/>
    <cellStyle name="Student Information 88 2 3 2" xfId="3916"/>
    <cellStyle name="Student Information 88 2 4" xfId="3914"/>
    <cellStyle name="Student Information 88 3" xfId="1837"/>
    <cellStyle name="Student Information 88 3 2" xfId="1838"/>
    <cellStyle name="Student Information 88 3 2 2" xfId="3918"/>
    <cellStyle name="Student Information 88 3 3" xfId="1839"/>
    <cellStyle name="Student Information 88 3 3 2" xfId="3919"/>
    <cellStyle name="Student Information 88 3 4" xfId="1840"/>
    <cellStyle name="Student Information 88 3 4 2" xfId="3920"/>
    <cellStyle name="Student Information 88 3 5" xfId="3917"/>
    <cellStyle name="Student Information 88 4" xfId="1841"/>
    <cellStyle name="Student Information 88 4 2" xfId="1842"/>
    <cellStyle name="Student Information 88 4 2 2" xfId="3922"/>
    <cellStyle name="Student Information 88 4 3" xfId="1843"/>
    <cellStyle name="Student Information 88 4 3 2" xfId="3923"/>
    <cellStyle name="Student Information 88 4 4" xfId="3921"/>
    <cellStyle name="Student Information 88 5" xfId="1844"/>
    <cellStyle name="Student Information 88 5 2" xfId="1845"/>
    <cellStyle name="Student Information 88 5 2 2" xfId="3925"/>
    <cellStyle name="Student Information 88 5 3" xfId="1846"/>
    <cellStyle name="Student Information 88 5 3 2" xfId="3926"/>
    <cellStyle name="Student Information 88 5 4" xfId="3924"/>
    <cellStyle name="Student Information 88 6" xfId="3913"/>
    <cellStyle name="Student Information 89" xfId="1847"/>
    <cellStyle name="Student Information 89 2" xfId="1848"/>
    <cellStyle name="Student Information 89 2 2" xfId="1849"/>
    <cellStyle name="Student Information 89 2 2 2" xfId="3929"/>
    <cellStyle name="Student Information 89 2 3" xfId="1850"/>
    <cellStyle name="Student Information 89 2 3 2" xfId="3930"/>
    <cellStyle name="Student Information 89 2 4" xfId="3928"/>
    <cellStyle name="Student Information 89 3" xfId="1851"/>
    <cellStyle name="Student Information 89 3 2" xfId="1852"/>
    <cellStyle name="Student Information 89 3 2 2" xfId="3932"/>
    <cellStyle name="Student Information 89 3 3" xfId="1853"/>
    <cellStyle name="Student Information 89 3 3 2" xfId="3933"/>
    <cellStyle name="Student Information 89 3 4" xfId="1854"/>
    <cellStyle name="Student Information 89 3 4 2" xfId="3934"/>
    <cellStyle name="Student Information 89 3 5" xfId="3931"/>
    <cellStyle name="Student Information 89 4" xfId="1855"/>
    <cellStyle name="Student Information 89 4 2" xfId="1856"/>
    <cellStyle name="Student Information 89 4 2 2" xfId="3936"/>
    <cellStyle name="Student Information 89 4 3" xfId="1857"/>
    <cellStyle name="Student Information 89 4 3 2" xfId="3937"/>
    <cellStyle name="Student Information 89 4 4" xfId="3935"/>
    <cellStyle name="Student Information 89 5" xfId="1858"/>
    <cellStyle name="Student Information 89 5 2" xfId="1859"/>
    <cellStyle name="Student Information 89 5 2 2" xfId="3939"/>
    <cellStyle name="Student Information 89 5 3" xfId="1860"/>
    <cellStyle name="Student Information 89 5 3 2" xfId="3940"/>
    <cellStyle name="Student Information 89 5 4" xfId="3938"/>
    <cellStyle name="Student Information 89 6" xfId="3927"/>
    <cellStyle name="Student Information 9" xfId="1861"/>
    <cellStyle name="Student Information 9 2" xfId="1862"/>
    <cellStyle name="Student Information 9 2 2" xfId="1863"/>
    <cellStyle name="Student Information 9 2 2 2" xfId="1864"/>
    <cellStyle name="Student Information 9 2 2 2 2" xfId="3944"/>
    <cellStyle name="Student Information 9 2 2 3" xfId="1865"/>
    <cellStyle name="Student Information 9 2 2 3 2" xfId="3945"/>
    <cellStyle name="Student Information 9 2 2 4" xfId="3943"/>
    <cellStyle name="Student Information 9 2 3" xfId="1866"/>
    <cellStyle name="Student Information 9 2 3 2" xfId="1867"/>
    <cellStyle name="Student Information 9 2 3 2 2" xfId="3947"/>
    <cellStyle name="Student Information 9 2 3 3" xfId="1868"/>
    <cellStyle name="Student Information 9 2 3 3 2" xfId="3948"/>
    <cellStyle name="Student Information 9 2 3 4" xfId="3946"/>
    <cellStyle name="Student Information 9 2 4" xfId="1869"/>
    <cellStyle name="Student Information 9 2 4 2" xfId="1870"/>
    <cellStyle name="Student Information 9 2 4 2 2" xfId="3950"/>
    <cellStyle name="Student Information 9 2 4 3" xfId="1871"/>
    <cellStyle name="Student Information 9 2 4 3 2" xfId="3951"/>
    <cellStyle name="Student Information 9 2 4 4" xfId="3949"/>
    <cellStyle name="Student Information 9 2 5" xfId="1872"/>
    <cellStyle name="Student Information 9 2 5 2" xfId="1873"/>
    <cellStyle name="Student Information 9 2 5 2 2" xfId="3953"/>
    <cellStyle name="Student Information 9 2 5 3" xfId="1874"/>
    <cellStyle name="Student Information 9 2 5 3 2" xfId="3954"/>
    <cellStyle name="Student Information 9 2 5 4" xfId="3952"/>
    <cellStyle name="Student Information 9 2 6" xfId="3942"/>
    <cellStyle name="Student Information 9 3" xfId="1875"/>
    <cellStyle name="Student Information 9 3 2" xfId="1876"/>
    <cellStyle name="Student Information 9 3 2 2" xfId="1877"/>
    <cellStyle name="Student Information 9 3 2 2 2" xfId="3957"/>
    <cellStyle name="Student Information 9 3 2 3" xfId="1878"/>
    <cellStyle name="Student Information 9 3 2 3 2" xfId="3958"/>
    <cellStyle name="Student Information 9 3 2 4" xfId="3956"/>
    <cellStyle name="Student Information 9 3 3" xfId="1879"/>
    <cellStyle name="Student Information 9 3 3 2" xfId="1880"/>
    <cellStyle name="Student Information 9 3 3 2 2" xfId="3960"/>
    <cellStyle name="Student Information 9 3 3 3" xfId="1881"/>
    <cellStyle name="Student Information 9 3 3 3 2" xfId="3961"/>
    <cellStyle name="Student Information 9 3 3 4" xfId="1882"/>
    <cellStyle name="Student Information 9 3 3 4 2" xfId="3962"/>
    <cellStyle name="Student Information 9 3 3 5" xfId="3959"/>
    <cellStyle name="Student Information 9 3 4" xfId="1883"/>
    <cellStyle name="Student Information 9 3 4 2" xfId="1884"/>
    <cellStyle name="Student Information 9 3 4 2 2" xfId="3964"/>
    <cellStyle name="Student Information 9 3 4 3" xfId="1885"/>
    <cellStyle name="Student Information 9 3 4 3 2" xfId="3965"/>
    <cellStyle name="Student Information 9 3 4 4" xfId="3963"/>
    <cellStyle name="Student Information 9 3 5" xfId="1886"/>
    <cellStyle name="Student Information 9 3 5 2" xfId="1887"/>
    <cellStyle name="Student Information 9 3 5 2 2" xfId="3967"/>
    <cellStyle name="Student Information 9 3 5 3" xfId="1888"/>
    <cellStyle name="Student Information 9 3 5 3 2" xfId="3968"/>
    <cellStyle name="Student Information 9 3 5 4" xfId="3966"/>
    <cellStyle name="Student Information 9 3 6" xfId="3955"/>
    <cellStyle name="Student Information 9 4" xfId="1889"/>
    <cellStyle name="Student Information 9 4 2" xfId="1890"/>
    <cellStyle name="Student Information 9 4 2 2" xfId="3970"/>
    <cellStyle name="Student Information 9 4 3" xfId="1891"/>
    <cellStyle name="Student Information 9 4 3 2" xfId="3971"/>
    <cellStyle name="Student Information 9 4 4" xfId="3969"/>
    <cellStyle name="Student Information 9 5" xfId="1892"/>
    <cellStyle name="Student Information 9 5 2" xfId="1893"/>
    <cellStyle name="Student Information 9 5 2 2" xfId="3973"/>
    <cellStyle name="Student Information 9 5 3" xfId="1894"/>
    <cellStyle name="Student Information 9 5 3 2" xfId="3974"/>
    <cellStyle name="Student Information 9 5 4" xfId="1895"/>
    <cellStyle name="Student Information 9 5 4 2" xfId="3975"/>
    <cellStyle name="Student Information 9 5 5" xfId="3972"/>
    <cellStyle name="Student Information 9 6" xfId="1896"/>
    <cellStyle name="Student Information 9 6 2" xfId="1897"/>
    <cellStyle name="Student Information 9 6 2 2" xfId="3977"/>
    <cellStyle name="Student Information 9 6 3" xfId="1898"/>
    <cellStyle name="Student Information 9 6 3 2" xfId="3978"/>
    <cellStyle name="Student Information 9 6 4" xfId="3976"/>
    <cellStyle name="Student Information 9 7" xfId="1899"/>
    <cellStyle name="Student Information 9 7 2" xfId="1900"/>
    <cellStyle name="Student Information 9 7 2 2" xfId="3980"/>
    <cellStyle name="Student Information 9 7 3" xfId="1901"/>
    <cellStyle name="Student Information 9 7 3 2" xfId="3981"/>
    <cellStyle name="Student Information 9 7 4" xfId="3979"/>
    <cellStyle name="Student Information 9 8" xfId="3941"/>
    <cellStyle name="Student Information 90" xfId="1902"/>
    <cellStyle name="Student Information 90 2" xfId="1903"/>
    <cellStyle name="Student Information 90 2 2" xfId="1904"/>
    <cellStyle name="Student Information 90 2 2 2" xfId="3984"/>
    <cellStyle name="Student Information 90 2 3" xfId="1905"/>
    <cellStyle name="Student Information 90 2 3 2" xfId="3985"/>
    <cellStyle name="Student Information 90 2 4" xfId="3983"/>
    <cellStyle name="Student Information 90 3" xfId="1906"/>
    <cellStyle name="Student Information 90 3 2" xfId="1907"/>
    <cellStyle name="Student Information 90 3 2 2" xfId="3987"/>
    <cellStyle name="Student Information 90 3 3" xfId="1908"/>
    <cellStyle name="Student Information 90 3 3 2" xfId="3988"/>
    <cellStyle name="Student Information 90 3 4" xfId="1909"/>
    <cellStyle name="Student Information 90 3 4 2" xfId="3989"/>
    <cellStyle name="Student Information 90 3 5" xfId="3986"/>
    <cellStyle name="Student Information 90 4" xfId="1910"/>
    <cellStyle name="Student Information 90 4 2" xfId="1911"/>
    <cellStyle name="Student Information 90 4 2 2" xfId="3991"/>
    <cellStyle name="Student Information 90 4 3" xfId="1912"/>
    <cellStyle name="Student Information 90 4 3 2" xfId="3992"/>
    <cellStyle name="Student Information 90 4 4" xfId="3990"/>
    <cellStyle name="Student Information 90 5" xfId="1913"/>
    <cellStyle name="Student Information 90 5 2" xfId="1914"/>
    <cellStyle name="Student Information 90 5 2 2" xfId="3994"/>
    <cellStyle name="Student Information 90 5 3" xfId="1915"/>
    <cellStyle name="Student Information 90 5 3 2" xfId="3995"/>
    <cellStyle name="Student Information 90 5 4" xfId="3993"/>
    <cellStyle name="Student Information 90 6" xfId="3982"/>
    <cellStyle name="Student Information 91" xfId="1916"/>
    <cellStyle name="Student Information 91 2" xfId="1917"/>
    <cellStyle name="Student Information 91 2 2" xfId="1918"/>
    <cellStyle name="Student Information 91 2 2 2" xfId="3998"/>
    <cellStyle name="Student Information 91 2 3" xfId="1919"/>
    <cellStyle name="Student Information 91 2 3 2" xfId="3999"/>
    <cellStyle name="Student Information 91 2 4" xfId="3997"/>
    <cellStyle name="Student Information 91 3" xfId="1920"/>
    <cellStyle name="Student Information 91 3 2" xfId="1921"/>
    <cellStyle name="Student Information 91 3 2 2" xfId="4001"/>
    <cellStyle name="Student Information 91 3 3" xfId="1922"/>
    <cellStyle name="Student Information 91 3 3 2" xfId="4002"/>
    <cellStyle name="Student Information 91 3 4" xfId="1923"/>
    <cellStyle name="Student Information 91 3 4 2" xfId="4003"/>
    <cellStyle name="Student Information 91 3 5" xfId="4000"/>
    <cellStyle name="Student Information 91 4" xfId="1924"/>
    <cellStyle name="Student Information 91 4 2" xfId="1925"/>
    <cellStyle name="Student Information 91 4 2 2" xfId="4005"/>
    <cellStyle name="Student Information 91 4 3" xfId="1926"/>
    <cellStyle name="Student Information 91 4 3 2" xfId="4006"/>
    <cellStyle name="Student Information 91 4 4" xfId="4004"/>
    <cellStyle name="Student Information 91 5" xfId="1927"/>
    <cellStyle name="Student Information 91 5 2" xfId="1928"/>
    <cellStyle name="Student Information 91 5 2 2" xfId="4008"/>
    <cellStyle name="Student Information 91 5 3" xfId="1929"/>
    <cellStyle name="Student Information 91 5 3 2" xfId="4009"/>
    <cellStyle name="Student Information 91 5 4" xfId="4007"/>
    <cellStyle name="Student Information 91 6" xfId="3996"/>
    <cellStyle name="Student Information 92" xfId="1930"/>
    <cellStyle name="Student Information 92 2" xfId="1931"/>
    <cellStyle name="Student Information 92 2 2" xfId="1932"/>
    <cellStyle name="Student Information 92 2 2 2" xfId="4012"/>
    <cellStyle name="Student Information 92 2 3" xfId="1933"/>
    <cellStyle name="Student Information 92 2 3 2" xfId="4013"/>
    <cellStyle name="Student Information 92 2 4" xfId="4011"/>
    <cellStyle name="Student Information 92 3" xfId="1934"/>
    <cellStyle name="Student Information 92 3 2" xfId="1935"/>
    <cellStyle name="Student Information 92 3 2 2" xfId="4015"/>
    <cellStyle name="Student Information 92 3 3" xfId="1936"/>
    <cellStyle name="Student Information 92 3 3 2" xfId="4016"/>
    <cellStyle name="Student Information 92 3 4" xfId="1937"/>
    <cellStyle name="Student Information 92 3 4 2" xfId="4017"/>
    <cellStyle name="Student Information 92 3 5" xfId="4014"/>
    <cellStyle name="Student Information 92 4" xfId="1938"/>
    <cellStyle name="Student Information 92 4 2" xfId="1939"/>
    <cellStyle name="Student Information 92 4 2 2" xfId="4019"/>
    <cellStyle name="Student Information 92 4 3" xfId="1940"/>
    <cellStyle name="Student Information 92 4 3 2" xfId="4020"/>
    <cellStyle name="Student Information 92 4 4" xfId="4018"/>
    <cellStyle name="Student Information 92 5" xfId="1941"/>
    <cellStyle name="Student Information 92 5 2" xfId="1942"/>
    <cellStyle name="Student Information 92 5 2 2" xfId="4022"/>
    <cellStyle name="Student Information 92 5 3" xfId="1943"/>
    <cellStyle name="Student Information 92 5 3 2" xfId="4023"/>
    <cellStyle name="Student Information 92 5 4" xfId="4021"/>
    <cellStyle name="Student Information 92 6" xfId="4010"/>
    <cellStyle name="Student Information 93" xfId="1944"/>
    <cellStyle name="Student Information 93 2" xfId="1945"/>
    <cellStyle name="Student Information 93 2 2" xfId="1946"/>
    <cellStyle name="Student Information 93 2 2 2" xfId="4026"/>
    <cellStyle name="Student Information 93 2 3" xfId="1947"/>
    <cellStyle name="Student Information 93 2 3 2" xfId="4027"/>
    <cellStyle name="Student Information 93 2 4" xfId="4025"/>
    <cellStyle name="Student Information 93 3" xfId="1948"/>
    <cellStyle name="Student Information 93 3 2" xfId="1949"/>
    <cellStyle name="Student Information 93 3 2 2" xfId="4029"/>
    <cellStyle name="Student Information 93 3 3" xfId="1950"/>
    <cellStyle name="Student Information 93 3 3 2" xfId="4030"/>
    <cellStyle name="Student Information 93 3 4" xfId="1951"/>
    <cellStyle name="Student Information 93 3 4 2" xfId="4031"/>
    <cellStyle name="Student Information 93 3 5" xfId="4028"/>
    <cellStyle name="Student Information 93 4" xfId="1952"/>
    <cellStyle name="Student Information 93 4 2" xfId="1953"/>
    <cellStyle name="Student Information 93 4 2 2" xfId="4033"/>
    <cellStyle name="Student Information 93 4 3" xfId="1954"/>
    <cellStyle name="Student Information 93 4 3 2" xfId="4034"/>
    <cellStyle name="Student Information 93 4 4" xfId="4032"/>
    <cellStyle name="Student Information 93 5" xfId="1955"/>
    <cellStyle name="Student Information 93 5 2" xfId="1956"/>
    <cellStyle name="Student Information 93 5 2 2" xfId="4036"/>
    <cellStyle name="Student Information 93 5 3" xfId="1957"/>
    <cellStyle name="Student Information 93 5 3 2" xfId="4037"/>
    <cellStyle name="Student Information 93 5 4" xfId="4035"/>
    <cellStyle name="Student Information 93 6" xfId="4024"/>
    <cellStyle name="Student Information 94" xfId="1958"/>
    <cellStyle name="Student Information 94 2" xfId="1959"/>
    <cellStyle name="Student Information 94 2 2" xfId="1960"/>
    <cellStyle name="Student Information 94 2 2 2" xfId="4040"/>
    <cellStyle name="Student Information 94 2 3" xfId="1961"/>
    <cellStyle name="Student Information 94 2 3 2" xfId="4041"/>
    <cellStyle name="Student Information 94 2 4" xfId="4039"/>
    <cellStyle name="Student Information 94 3" xfId="1962"/>
    <cellStyle name="Student Information 94 3 2" xfId="1963"/>
    <cellStyle name="Student Information 94 3 2 2" xfId="4043"/>
    <cellStyle name="Student Information 94 3 3" xfId="1964"/>
    <cellStyle name="Student Information 94 3 3 2" xfId="4044"/>
    <cellStyle name="Student Information 94 3 4" xfId="1965"/>
    <cellStyle name="Student Information 94 3 4 2" xfId="4045"/>
    <cellStyle name="Student Information 94 3 5" xfId="4042"/>
    <cellStyle name="Student Information 94 4" xfId="1966"/>
    <cellStyle name="Student Information 94 4 2" xfId="1967"/>
    <cellStyle name="Student Information 94 4 2 2" xfId="4047"/>
    <cellStyle name="Student Information 94 4 3" xfId="1968"/>
    <cellStyle name="Student Information 94 4 3 2" xfId="4048"/>
    <cellStyle name="Student Information 94 4 4" xfId="4046"/>
    <cellStyle name="Student Information 94 5" xfId="1969"/>
    <cellStyle name="Student Information 94 5 2" xfId="1970"/>
    <cellStyle name="Student Information 94 5 2 2" xfId="4050"/>
    <cellStyle name="Student Information 94 5 3" xfId="1971"/>
    <cellStyle name="Student Information 94 5 3 2" xfId="4051"/>
    <cellStyle name="Student Information 94 5 4" xfId="4049"/>
    <cellStyle name="Student Information 94 6" xfId="4038"/>
    <cellStyle name="Student Information 95" xfId="1972"/>
    <cellStyle name="Student Information 95 10" xfId="1973"/>
    <cellStyle name="Student Information 95 10 2" xfId="4053"/>
    <cellStyle name="Student Information 95 11" xfId="1974"/>
    <cellStyle name="Student Information 95 11 2" xfId="4054"/>
    <cellStyle name="Student Information 95 12" xfId="1975"/>
    <cellStyle name="Student Information 95 12 2" xfId="4055"/>
    <cellStyle name="Student Information 95 13" xfId="4052"/>
    <cellStyle name="Student Information 95 2" xfId="1976"/>
    <cellStyle name="Student Information 95 2 2" xfId="1977"/>
    <cellStyle name="Student Information 95 2 2 2" xfId="4057"/>
    <cellStyle name="Student Information 95 2 3" xfId="1978"/>
    <cellStyle name="Student Information 95 2 3 2" xfId="4058"/>
    <cellStyle name="Student Information 95 2 4" xfId="4056"/>
    <cellStyle name="Student Information 95 3" xfId="1979"/>
    <cellStyle name="Student Information 95 3 2" xfId="1980"/>
    <cellStyle name="Student Information 95 3 2 2" xfId="4060"/>
    <cellStyle name="Student Information 95 3 3" xfId="1981"/>
    <cellStyle name="Student Information 95 3 3 2" xfId="4061"/>
    <cellStyle name="Student Information 95 3 4" xfId="1982"/>
    <cellStyle name="Student Information 95 3 4 2" xfId="4062"/>
    <cellStyle name="Student Information 95 3 5" xfId="4059"/>
    <cellStyle name="Student Information 95 4" xfId="1983"/>
    <cellStyle name="Student Information 95 4 2" xfId="1984"/>
    <cellStyle name="Student Information 95 4 2 2" xfId="4064"/>
    <cellStyle name="Student Information 95 4 3" xfId="1985"/>
    <cellStyle name="Student Information 95 4 3 2" xfId="4065"/>
    <cellStyle name="Student Information 95 4 4" xfId="4063"/>
    <cellStyle name="Student Information 95 5" xfId="1986"/>
    <cellStyle name="Student Information 95 5 2" xfId="1987"/>
    <cellStyle name="Student Information 95 5 2 2" xfId="4067"/>
    <cellStyle name="Student Information 95 5 3" xfId="1988"/>
    <cellStyle name="Student Information 95 5 3 2" xfId="4068"/>
    <cellStyle name="Student Information 95 5 4" xfId="4066"/>
    <cellStyle name="Student Information 95 6" xfId="1989"/>
    <cellStyle name="Student Information 95 6 2" xfId="4069"/>
    <cellStyle name="Student Information 95 7" xfId="1990"/>
    <cellStyle name="Student Information 95 7 2" xfId="4070"/>
    <cellStyle name="Student Information 95 8" xfId="1991"/>
    <cellStyle name="Student Information 95 8 2" xfId="4071"/>
    <cellStyle name="Student Information 95 9" xfId="1992"/>
    <cellStyle name="Student Information 95 9 2" xfId="4072"/>
    <cellStyle name="Student Information 96" xfId="1993"/>
    <cellStyle name="Student Information 96 2" xfId="1994"/>
    <cellStyle name="Student Information 96 2 2" xfId="4074"/>
    <cellStyle name="Student Information 96 3" xfId="1995"/>
    <cellStyle name="Student Information 96 3 2" xfId="4075"/>
    <cellStyle name="Student Information 96 4" xfId="4073"/>
    <cellStyle name="Student Information 97" xfId="1996"/>
    <cellStyle name="Student Information 97 2" xfId="1997"/>
    <cellStyle name="Student Information 97 2 2" xfId="4077"/>
    <cellStyle name="Student Information 97 3" xfId="1998"/>
    <cellStyle name="Student Information 97 3 2" xfId="4078"/>
    <cellStyle name="Student Information 97 4" xfId="4076"/>
    <cellStyle name="Student Information 98" xfId="1999"/>
    <cellStyle name="Student Information 98 2" xfId="2000"/>
    <cellStyle name="Student Information 98 2 2" xfId="4080"/>
    <cellStyle name="Student Information 98 3" xfId="2001"/>
    <cellStyle name="Student Information 98 3 2" xfId="4081"/>
    <cellStyle name="Student Information 98 4" xfId="4079"/>
    <cellStyle name="Student Information 99" xfId="2002"/>
    <cellStyle name="Student Information 99 2" xfId="2003"/>
    <cellStyle name="Student Information 99 2 2" xfId="4083"/>
    <cellStyle name="Student Information 99 3" xfId="2004"/>
    <cellStyle name="Student Information 99 3 2" xfId="4084"/>
    <cellStyle name="Student Information 99 4" xfId="4082"/>
    <cellStyle name="Total" xfId="10" builtinId="25"/>
    <cellStyle name="Total 2" xfId="2005"/>
    <cellStyle name="Total 2 2" xfId="2006"/>
    <cellStyle name="Total 2 2 2" xfId="4086"/>
    <cellStyle name="Total 2 3" xfId="2007"/>
    <cellStyle name="Total 2 3 2" xfId="2008"/>
    <cellStyle name="Total 2 3 2 2" xfId="4088"/>
    <cellStyle name="Total 2 3 3" xfId="4087"/>
    <cellStyle name="Total 2 4" xfId="2009"/>
    <cellStyle name="Total 2 4 2" xfId="2010"/>
    <cellStyle name="Total 2 4 2 2" xfId="4090"/>
    <cellStyle name="Total 2 4 3" xfId="4089"/>
    <cellStyle name="Total 2 5" xfId="4085"/>
    <cellStyle name="Total 3" xfId="2011"/>
    <cellStyle name="Total 3 2" xfId="2012"/>
    <cellStyle name="Total 3 2 2" xfId="4092"/>
    <cellStyle name="Total 3 3" xfId="2013"/>
    <cellStyle name="Total 3 3 2" xfId="2014"/>
    <cellStyle name="Total 3 3 2 2" xfId="4094"/>
    <cellStyle name="Total 3 3 3" xfId="4093"/>
    <cellStyle name="Total 3 4" xfId="2015"/>
    <cellStyle name="Total 3 4 2" xfId="2016"/>
    <cellStyle name="Total 3 4 2 2" xfId="4096"/>
    <cellStyle name="Total 3 4 3" xfId="4095"/>
    <cellStyle name="Total 3 5" xfId="4091"/>
    <cellStyle name="Total 4" xfId="2017"/>
    <cellStyle name="Total 4 2" xfId="2018"/>
    <cellStyle name="Total 4 2 2" xfId="2019"/>
    <cellStyle name="Total 4 2 2 2" xfId="4099"/>
    <cellStyle name="Total 4 2 3" xfId="4098"/>
    <cellStyle name="Total 4 3" xfId="2020"/>
    <cellStyle name="Total 4 3 2" xfId="2021"/>
    <cellStyle name="Total 4 3 2 2" xfId="4101"/>
    <cellStyle name="Total 4 3 3" xfId="4100"/>
    <cellStyle name="Total 4 4" xfId="4097"/>
    <cellStyle name="Total 5" xfId="2022"/>
    <cellStyle name="Total 5 2" xfId="2023"/>
    <cellStyle name="Total 5 2 2" xfId="2024"/>
    <cellStyle name="Total 5 2 2 2" xfId="4104"/>
    <cellStyle name="Total 5 2 3" xfId="4103"/>
    <cellStyle name="Total 5 3" xfId="2025"/>
    <cellStyle name="Total 5 3 2" xfId="2026"/>
    <cellStyle name="Total 5 3 2 2" xfId="4106"/>
    <cellStyle name="Total 5 3 3" xfId="4105"/>
    <cellStyle name="Total 5 4" xfId="4102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20"/>
      </font>
      <fill>
        <patternFill patternType="solid">
          <fgColor indexed="45"/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99FF"/>
      <color rgb="FFFF3399"/>
      <color rgb="FFFF33CC"/>
      <color rgb="FFFF66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33"/>
  <sheetViews>
    <sheetView view="pageBreakPreview" zoomScale="115" zoomScaleSheetLayoutView="115" workbookViewId="0">
      <selection activeCell="M21" sqref="M21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1829" t="s">
        <v>19</v>
      </c>
      <c r="D2" s="1829"/>
      <c r="E2" s="1829"/>
      <c r="F2" s="1829"/>
      <c r="G2" s="1829"/>
      <c r="H2" s="1829"/>
      <c r="I2" s="1829"/>
    </row>
    <row r="3" spans="1:9" ht="15.75">
      <c r="C3" s="1830" t="s">
        <v>20</v>
      </c>
      <c r="D3" s="1830"/>
      <c r="E3" s="1830"/>
      <c r="F3" s="1830"/>
      <c r="G3" s="1830"/>
      <c r="H3" s="1830"/>
      <c r="I3" s="1830"/>
    </row>
    <row r="6" spans="1:9" ht="18.75">
      <c r="B6" s="1831" t="s">
        <v>21</v>
      </c>
      <c r="C6" s="1831"/>
      <c r="D6" s="1831"/>
      <c r="E6" s="1831"/>
      <c r="F6" s="1831"/>
      <c r="G6" s="1831"/>
      <c r="H6" s="1831"/>
      <c r="I6" s="1831"/>
    </row>
    <row r="7" spans="1:9" ht="18.75">
      <c r="B7" s="1831" t="s">
        <v>22</v>
      </c>
      <c r="C7" s="1831"/>
      <c r="D7" s="1831"/>
      <c r="E7" s="1831"/>
      <c r="F7" s="1831"/>
      <c r="G7" s="1831"/>
      <c r="H7" s="1831"/>
      <c r="I7" s="1831"/>
    </row>
    <row r="8" spans="1:9" ht="18.75">
      <c r="B8" s="1831" t="s">
        <v>4069</v>
      </c>
      <c r="C8" s="1831"/>
      <c r="D8" s="1831"/>
      <c r="E8" s="1831"/>
      <c r="F8" s="1831"/>
      <c r="G8" s="1831"/>
      <c r="H8" s="1831"/>
      <c r="I8" s="1831"/>
    </row>
    <row r="9" spans="1:9" ht="18.75">
      <c r="B9" s="1831"/>
      <c r="C9" s="1831"/>
      <c r="D9" s="1831"/>
      <c r="E9" s="1831"/>
      <c r="F9" s="1831"/>
      <c r="G9" s="1831"/>
      <c r="H9" s="1831"/>
      <c r="I9" s="1831"/>
    </row>
    <row r="10" spans="1:9" ht="15">
      <c r="A10" s="307"/>
      <c r="B10" s="307"/>
      <c r="C10" s="307" t="s">
        <v>66</v>
      </c>
      <c r="D10" s="307"/>
      <c r="E10" s="10"/>
      <c r="F10" s="10"/>
      <c r="G10" s="10"/>
      <c r="H10" s="10"/>
      <c r="I10" s="10"/>
    </row>
    <row r="11" spans="1:9" ht="15">
      <c r="A11" s="305" t="s">
        <v>1812</v>
      </c>
      <c r="B11" s="305" t="s">
        <v>1813</v>
      </c>
      <c r="C11" s="305"/>
      <c r="D11" s="305"/>
      <c r="E11" s="306"/>
      <c r="F11" s="306"/>
      <c r="G11" s="306"/>
      <c r="H11" s="306"/>
      <c r="I11" s="306"/>
    </row>
    <row r="12" spans="1:9" ht="15">
      <c r="A12" s="307" t="s">
        <v>1792</v>
      </c>
      <c r="B12" s="308" t="s">
        <v>314</v>
      </c>
      <c r="C12" s="308"/>
      <c r="D12" s="308"/>
      <c r="E12" s="221"/>
      <c r="F12" s="221"/>
      <c r="G12" s="221"/>
      <c r="H12" s="221"/>
      <c r="I12" s="221"/>
    </row>
    <row r="13" spans="1:9" ht="15">
      <c r="A13" s="307" t="s">
        <v>1793</v>
      </c>
      <c r="B13" s="308" t="s">
        <v>315</v>
      </c>
      <c r="C13" s="308"/>
      <c r="D13" s="308"/>
      <c r="E13" s="221"/>
      <c r="F13" s="221"/>
      <c r="G13" s="221"/>
      <c r="H13" s="221"/>
      <c r="I13" s="221"/>
    </row>
    <row r="14" spans="1:9" ht="15">
      <c r="A14" s="307" t="s">
        <v>1794</v>
      </c>
      <c r="B14" s="308" t="s">
        <v>316</v>
      </c>
      <c r="C14" s="308"/>
      <c r="D14" s="308"/>
      <c r="E14" s="221"/>
      <c r="F14" s="221"/>
      <c r="G14" s="221"/>
      <c r="H14" s="221"/>
      <c r="I14" s="221"/>
    </row>
    <row r="15" spans="1:9" ht="15">
      <c r="A15" s="307" t="s">
        <v>1795</v>
      </c>
      <c r="B15" s="308" t="s">
        <v>317</v>
      </c>
      <c r="C15" s="308"/>
      <c r="D15" s="308"/>
      <c r="E15" s="221"/>
      <c r="F15" s="221"/>
      <c r="G15" s="221"/>
      <c r="H15" s="221"/>
      <c r="I15" s="221"/>
    </row>
    <row r="16" spans="1:9" ht="15">
      <c r="A16" s="307" t="s">
        <v>1796</v>
      </c>
      <c r="B16" s="308" t="s">
        <v>212</v>
      </c>
      <c r="C16" s="308"/>
      <c r="D16" s="308"/>
      <c r="E16" s="221"/>
      <c r="F16" s="221"/>
      <c r="G16" s="221"/>
      <c r="H16" s="221"/>
      <c r="I16" s="221"/>
    </row>
    <row r="17" spans="1:9" ht="15.75" customHeight="1">
      <c r="A17" s="307" t="s">
        <v>1797</v>
      </c>
      <c r="B17" s="308" t="s">
        <v>219</v>
      </c>
      <c r="C17" s="308"/>
      <c r="D17" s="308"/>
      <c r="E17" s="221"/>
      <c r="F17" s="221"/>
      <c r="G17" s="221"/>
      <c r="H17" s="221"/>
      <c r="I17" s="221"/>
    </row>
    <row r="18" spans="1:9" ht="15.75" customHeight="1">
      <c r="A18" s="307" t="s">
        <v>1798</v>
      </c>
      <c r="B18" s="308" t="s">
        <v>220</v>
      </c>
      <c r="C18" s="308"/>
      <c r="D18" s="308"/>
      <c r="E18" s="221"/>
      <c r="F18" s="221"/>
      <c r="G18" s="221"/>
      <c r="H18" s="221"/>
      <c r="I18" s="221"/>
    </row>
    <row r="19" spans="1:9" ht="15">
      <c r="A19" s="307" t="s">
        <v>88</v>
      </c>
      <c r="B19" s="308" t="s">
        <v>300</v>
      </c>
      <c r="C19" s="308"/>
      <c r="D19" s="308"/>
      <c r="E19" s="221"/>
      <c r="F19" s="221"/>
      <c r="G19" s="221"/>
      <c r="H19" s="221"/>
      <c r="I19" s="221"/>
    </row>
    <row r="20" spans="1:9" ht="15">
      <c r="A20" s="307" t="s">
        <v>1799</v>
      </c>
      <c r="B20" s="308" t="s">
        <v>228</v>
      </c>
      <c r="C20" s="308"/>
      <c r="D20" s="308"/>
      <c r="E20" s="221"/>
      <c r="F20" s="221"/>
      <c r="G20" s="221"/>
      <c r="H20" s="221"/>
      <c r="I20" s="221"/>
    </row>
    <row r="21" spans="1:9" ht="15">
      <c r="A21" s="307" t="s">
        <v>1800</v>
      </c>
      <c r="B21" s="309" t="s">
        <v>1791</v>
      </c>
      <c r="C21" s="309"/>
      <c r="D21" s="309"/>
      <c r="E21" s="310"/>
      <c r="F21" s="310"/>
      <c r="G21" s="310"/>
      <c r="H21" s="221"/>
      <c r="I21" s="221"/>
    </row>
    <row r="22" spans="1:9" ht="15">
      <c r="A22" s="307" t="s">
        <v>1801</v>
      </c>
      <c r="B22" s="311" t="s">
        <v>230</v>
      </c>
      <c r="C22" s="308"/>
      <c r="D22" s="308"/>
      <c r="E22" s="221"/>
      <c r="F22" s="221"/>
      <c r="G22" s="221"/>
      <c r="H22" s="221"/>
      <c r="I22" s="221"/>
    </row>
    <row r="23" spans="1:9" ht="15">
      <c r="A23" s="307" t="s">
        <v>1802</v>
      </c>
      <c r="B23" s="311" t="s">
        <v>1769</v>
      </c>
      <c r="C23" s="308"/>
      <c r="D23" s="308"/>
      <c r="E23" s="221"/>
      <c r="F23" s="221"/>
      <c r="G23" s="221"/>
      <c r="H23" s="221"/>
      <c r="I23" s="221"/>
    </row>
    <row r="24" spans="1:9" ht="15">
      <c r="A24" s="307" t="s">
        <v>1803</v>
      </c>
      <c r="B24" s="309" t="s">
        <v>1785</v>
      </c>
      <c r="C24" s="309"/>
      <c r="D24" s="309"/>
      <c r="E24" s="310"/>
      <c r="F24" s="310"/>
      <c r="G24" s="310"/>
      <c r="H24" s="221"/>
      <c r="I24" s="221"/>
    </row>
    <row r="25" spans="1:9" ht="15">
      <c r="A25" s="307" t="s">
        <v>1804</v>
      </c>
      <c r="B25" s="309" t="s">
        <v>1786</v>
      </c>
      <c r="C25" s="309"/>
      <c r="D25" s="309"/>
      <c r="E25" s="310"/>
      <c r="F25" s="310"/>
      <c r="G25" s="310"/>
      <c r="H25" s="221"/>
      <c r="I25" s="221"/>
    </row>
    <row r="26" spans="1:9" ht="15">
      <c r="A26" s="307" t="s">
        <v>1805</v>
      </c>
      <c r="B26" s="309" t="s">
        <v>1790</v>
      </c>
      <c r="C26" s="309"/>
      <c r="D26" s="309"/>
      <c r="E26" s="310"/>
      <c r="F26" s="310"/>
      <c r="G26" s="310"/>
      <c r="H26" s="221"/>
      <c r="I26" s="221"/>
    </row>
    <row r="27" spans="1:9" ht="15">
      <c r="A27" s="307" t="s">
        <v>1806</v>
      </c>
      <c r="B27" s="308" t="s">
        <v>138</v>
      </c>
      <c r="C27" s="308"/>
      <c r="D27" s="308"/>
      <c r="E27" s="221"/>
      <c r="F27" s="221"/>
      <c r="G27" s="221"/>
      <c r="H27" s="221"/>
      <c r="I27" s="221"/>
    </row>
    <row r="28" spans="1:9" ht="15">
      <c r="A28" s="307" t="s">
        <v>1807</v>
      </c>
      <c r="B28" s="332" t="s">
        <v>287</v>
      </c>
      <c r="C28" s="332"/>
      <c r="D28" s="332"/>
      <c r="E28" s="333"/>
      <c r="F28" s="333"/>
      <c r="G28" s="333"/>
      <c r="H28" s="221"/>
      <c r="I28" s="221"/>
    </row>
    <row r="29" spans="1:9" ht="15">
      <c r="A29" s="307" t="s">
        <v>1808</v>
      </c>
      <c r="B29" s="308" t="s">
        <v>295</v>
      </c>
      <c r="C29" s="308"/>
      <c r="D29" s="308"/>
      <c r="E29" s="221"/>
      <c r="F29" s="221"/>
      <c r="G29" s="221"/>
      <c r="H29" s="221"/>
      <c r="I29" s="221"/>
    </row>
    <row r="30" spans="1:9" ht="15">
      <c r="A30" s="307" t="s">
        <v>1809</v>
      </c>
      <c r="B30" s="308" t="s">
        <v>297</v>
      </c>
      <c r="C30" s="308"/>
      <c r="D30" s="308"/>
      <c r="E30" s="221"/>
      <c r="F30" s="221"/>
      <c r="G30" s="221"/>
      <c r="H30" s="221"/>
      <c r="I30" s="221"/>
    </row>
    <row r="31" spans="1:9" ht="15">
      <c r="A31" s="307" t="s">
        <v>1810</v>
      </c>
      <c r="B31" s="308" t="s">
        <v>298</v>
      </c>
      <c r="C31" s="308"/>
      <c r="D31" s="308"/>
      <c r="E31" s="221"/>
      <c r="F31" s="221"/>
      <c r="G31" s="221"/>
      <c r="H31" s="221"/>
      <c r="I31" s="221"/>
    </row>
    <row r="32" spans="1:9" ht="15">
      <c r="A32" s="307" t="s">
        <v>1811</v>
      </c>
      <c r="B32" s="308" t="s">
        <v>299</v>
      </c>
      <c r="C32" s="308"/>
      <c r="D32" s="308"/>
      <c r="E32" s="221"/>
      <c r="F32" s="221"/>
      <c r="G32" s="221"/>
      <c r="H32" s="221"/>
      <c r="I32" s="221"/>
    </row>
    <row r="33" spans="1:9" ht="15">
      <c r="A33" s="307" t="s">
        <v>1852</v>
      </c>
      <c r="B33" s="308" t="s">
        <v>1850</v>
      </c>
      <c r="C33" s="304"/>
      <c r="D33" s="304"/>
      <c r="E33" s="304"/>
      <c r="F33" s="304"/>
      <c r="G33" s="304"/>
      <c r="H33" s="304"/>
      <c r="I33" s="304"/>
    </row>
  </sheetData>
  <mergeCells count="6">
    <mergeCell ref="C2:I2"/>
    <mergeCell ref="C3:I3"/>
    <mergeCell ref="B9:I9"/>
    <mergeCell ref="B6:I6"/>
    <mergeCell ref="B7:I7"/>
    <mergeCell ref="B8:I8"/>
  </mergeCells>
  <phoneticPr fontId="1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2"/>
  <sheetViews>
    <sheetView view="pageBreakPreview" zoomScaleSheetLayoutView="100" workbookViewId="0">
      <selection activeCell="L12" sqref="L12"/>
    </sheetView>
  </sheetViews>
  <sheetFormatPr defaultRowHeight="12.75"/>
  <cols>
    <col min="1" max="1" width="7.42578125" style="2" customWidth="1"/>
    <col min="2" max="2" width="29.7109375" style="2" customWidth="1"/>
    <col min="3" max="3" width="24" style="2" customWidth="1"/>
    <col min="4" max="4" width="11.140625" style="2" customWidth="1"/>
    <col min="5" max="8" width="8.42578125" style="2" customWidth="1"/>
    <col min="9" max="16384" width="9.140625" style="2"/>
  </cols>
  <sheetData>
    <row r="1" spans="1:8">
      <c r="A1" s="173"/>
      <c r="B1" s="174" t="s">
        <v>187</v>
      </c>
      <c r="C1" s="321" t="str">
        <f>Kadar.ode.!C1</f>
        <v>Општа болница Алексинац</v>
      </c>
      <c r="D1" s="169"/>
      <c r="E1" s="169"/>
      <c r="F1" s="169"/>
      <c r="G1" s="171"/>
      <c r="H1" s="3"/>
    </row>
    <row r="2" spans="1:8">
      <c r="A2" s="173"/>
      <c r="B2" s="174" t="s">
        <v>188</v>
      </c>
      <c r="C2" s="321">
        <f>Kadar.ode.!C2</f>
        <v>17862944</v>
      </c>
      <c r="D2" s="169"/>
      <c r="E2" s="169"/>
      <c r="F2" s="169"/>
      <c r="G2" s="171"/>
      <c r="H2" s="3"/>
    </row>
    <row r="3" spans="1:8">
      <c r="A3" s="173"/>
      <c r="B3" s="174"/>
      <c r="C3" s="165"/>
      <c r="D3" s="169"/>
      <c r="E3" s="169"/>
      <c r="F3" s="169"/>
      <c r="G3" s="171"/>
      <c r="H3" s="3"/>
    </row>
    <row r="4" spans="1:8" ht="14.25">
      <c r="A4" s="173"/>
      <c r="B4" s="174" t="s">
        <v>1821</v>
      </c>
      <c r="C4" s="166" t="s">
        <v>300</v>
      </c>
      <c r="D4" s="170"/>
      <c r="E4" s="170"/>
      <c r="F4" s="170"/>
      <c r="G4" s="172"/>
    </row>
    <row r="5" spans="1:8" ht="12.75" customHeight="1"/>
    <row r="6" spans="1:8" s="1" customFormat="1" ht="23.25" customHeight="1">
      <c r="A6" s="1864" t="s">
        <v>185</v>
      </c>
      <c r="B6" s="1866" t="s">
        <v>55</v>
      </c>
      <c r="C6" s="1866" t="s">
        <v>133</v>
      </c>
      <c r="D6" s="1857" t="s">
        <v>221</v>
      </c>
      <c r="E6" s="1857"/>
      <c r="F6" s="1860" t="s">
        <v>222</v>
      </c>
      <c r="G6" s="1861"/>
    </row>
    <row r="7" spans="1:8" s="1" customFormat="1" ht="32.25" customHeight="1" thickBot="1">
      <c r="A7" s="1865"/>
      <c r="B7" s="1867"/>
      <c r="C7" s="1867"/>
      <c r="D7" s="86" t="s">
        <v>4078</v>
      </c>
      <c r="E7" s="86" t="s">
        <v>4071</v>
      </c>
      <c r="F7" s="86" t="s">
        <v>4078</v>
      </c>
      <c r="G7" s="86" t="s">
        <v>4071</v>
      </c>
    </row>
    <row r="8" spans="1:8" ht="25.5" customHeight="1" thickTop="1">
      <c r="A8" s="210">
        <v>805</v>
      </c>
      <c r="B8" s="1257" t="s">
        <v>1904</v>
      </c>
      <c r="C8" s="1348">
        <v>4</v>
      </c>
      <c r="D8" s="1349">
        <v>971</v>
      </c>
      <c r="E8" s="1349">
        <v>1500</v>
      </c>
      <c r="F8" s="1350">
        <v>1531</v>
      </c>
      <c r="G8" s="1350">
        <v>1700</v>
      </c>
    </row>
    <row r="9" spans="1:8" ht="21.95" customHeight="1">
      <c r="A9" s="842">
        <v>808</v>
      </c>
      <c r="B9" s="105" t="s">
        <v>1892</v>
      </c>
      <c r="C9" s="184">
        <v>2</v>
      </c>
      <c r="D9" s="1660">
        <v>248</v>
      </c>
      <c r="E9" s="1674">
        <v>400</v>
      </c>
      <c r="F9" s="1675">
        <v>248</v>
      </c>
      <c r="G9" s="1675">
        <v>400</v>
      </c>
    </row>
    <row r="10" spans="1:8" ht="21.95" customHeight="1">
      <c r="A10" s="212">
        <v>801</v>
      </c>
      <c r="B10" s="106" t="s">
        <v>1868</v>
      </c>
      <c r="C10" s="184">
        <v>2</v>
      </c>
      <c r="D10" s="1289">
        <v>486</v>
      </c>
      <c r="E10" s="1289">
        <v>900</v>
      </c>
      <c r="F10" s="1289">
        <v>524</v>
      </c>
      <c r="G10" s="1289">
        <v>900</v>
      </c>
    </row>
    <row r="11" spans="1:8" ht="21.95" customHeight="1">
      <c r="A11" s="843">
        <v>811</v>
      </c>
      <c r="B11" s="105" t="s">
        <v>1772</v>
      </c>
      <c r="C11" s="1351">
        <v>1</v>
      </c>
      <c r="D11" s="1352">
        <v>36</v>
      </c>
      <c r="E11" s="1352">
        <v>70</v>
      </c>
      <c r="F11" s="1352">
        <v>37</v>
      </c>
      <c r="G11" s="1352">
        <v>70</v>
      </c>
    </row>
    <row r="12" spans="1:8" ht="21.95" customHeight="1">
      <c r="A12" s="843">
        <v>810</v>
      </c>
      <c r="B12" s="314" t="s">
        <v>1771</v>
      </c>
      <c r="C12" s="184">
        <v>1</v>
      </c>
      <c r="D12" s="1289">
        <v>75</v>
      </c>
      <c r="E12" s="1289">
        <v>140</v>
      </c>
      <c r="F12" s="1289">
        <v>133</v>
      </c>
      <c r="G12" s="1289">
        <v>140</v>
      </c>
    </row>
    <row r="13" spans="1:8" ht="21.95" customHeight="1">
      <c r="A13" s="211">
        <v>814</v>
      </c>
      <c r="B13" s="107" t="s">
        <v>3394</v>
      </c>
      <c r="C13" s="1351">
        <v>2</v>
      </c>
      <c r="D13" s="1352">
        <v>173</v>
      </c>
      <c r="E13" s="1352">
        <v>365</v>
      </c>
      <c r="F13" s="1352">
        <v>173</v>
      </c>
      <c r="G13" s="1352">
        <v>365</v>
      </c>
    </row>
    <row r="14" spans="1:8" ht="21.95" customHeight="1">
      <c r="A14" s="213"/>
      <c r="B14" s="106"/>
      <c r="C14" s="184"/>
      <c r="D14" s="1289"/>
      <c r="E14" s="1289"/>
      <c r="F14" s="1289"/>
      <c r="G14" s="1289"/>
    </row>
    <row r="15" spans="1:8" ht="21.95" customHeight="1">
      <c r="A15" s="211"/>
      <c r="B15" s="105"/>
      <c r="C15" s="1351"/>
      <c r="D15" s="1352"/>
      <c r="E15" s="1352"/>
      <c r="F15" s="1352"/>
      <c r="G15" s="1352"/>
    </row>
    <row r="16" spans="1:8" ht="21.95" customHeight="1">
      <c r="A16" s="213"/>
      <c r="B16" s="106"/>
      <c r="C16" s="184"/>
      <c r="D16" s="1289"/>
      <c r="E16" s="1289"/>
      <c r="F16" s="1353"/>
      <c r="G16" s="1353"/>
    </row>
    <row r="17" spans="1:7" ht="21.95" customHeight="1" thickBot="1">
      <c r="A17" s="214"/>
      <c r="B17" s="108"/>
      <c r="C17" s="1354"/>
      <c r="D17" s="1355"/>
      <c r="E17" s="1355"/>
      <c r="F17" s="1356"/>
      <c r="G17" s="1357"/>
    </row>
    <row r="18" spans="1:7" ht="24.95" customHeight="1" thickTop="1">
      <c r="A18" s="1862" t="s">
        <v>87</v>
      </c>
      <c r="B18" s="1863"/>
      <c r="C18" s="905">
        <f>SUM(C8:C17)</f>
        <v>12</v>
      </c>
      <c r="D18" s="905">
        <f>SUM(D8:D17)</f>
        <v>1989</v>
      </c>
      <c r="E18" s="905">
        <f>SUM(E8:E17)</f>
        <v>3375</v>
      </c>
      <c r="F18" s="905">
        <f>SUM(F8:F17)</f>
        <v>2646</v>
      </c>
      <c r="G18" s="905">
        <f>SUM(G8:G17)</f>
        <v>3575</v>
      </c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"/>
  <sheetViews>
    <sheetView view="pageBreakPreview" zoomScale="130" zoomScaleSheetLayoutView="130" workbookViewId="0">
      <selection activeCell="C9" sqref="C9"/>
    </sheetView>
  </sheetViews>
  <sheetFormatPr defaultRowHeight="12.75"/>
  <cols>
    <col min="1" max="1" width="22.28515625" style="9" customWidth="1"/>
    <col min="2" max="2" width="7.5703125" style="9" customWidth="1"/>
    <col min="3" max="3" width="11.42578125" style="9" customWidth="1"/>
    <col min="4" max="4" width="12.5703125" style="9" customWidth="1"/>
    <col min="5" max="5" width="10.7109375" style="9" customWidth="1"/>
    <col min="6" max="6" width="13" style="9" customWidth="1"/>
    <col min="7" max="16384" width="9.140625" style="9"/>
  </cols>
  <sheetData>
    <row r="1" spans="1:6">
      <c r="A1" s="173"/>
      <c r="B1" s="174" t="s">
        <v>187</v>
      </c>
      <c r="C1" s="321" t="str">
        <f>Kadar.ode.!C1</f>
        <v>Општа болница Алексинац</v>
      </c>
      <c r="D1" s="169"/>
      <c r="E1" s="169"/>
      <c r="F1" s="171"/>
    </row>
    <row r="2" spans="1:6">
      <c r="A2" s="173"/>
      <c r="B2" s="174" t="s">
        <v>188</v>
      </c>
      <c r="C2" s="321">
        <f>Kadar.ode.!C2</f>
        <v>17862944</v>
      </c>
      <c r="D2" s="169"/>
      <c r="E2" s="169"/>
      <c r="F2" s="171"/>
    </row>
    <row r="3" spans="1:6">
      <c r="A3" s="173"/>
      <c r="B3" s="174"/>
      <c r="C3" s="165"/>
      <c r="D3" s="169"/>
      <c r="E3" s="169"/>
      <c r="F3" s="171"/>
    </row>
    <row r="4" spans="1:6" ht="14.25">
      <c r="A4" s="173"/>
      <c r="B4" s="174" t="s">
        <v>1822</v>
      </c>
      <c r="C4" s="166" t="s">
        <v>228</v>
      </c>
      <c r="D4" s="170"/>
      <c r="E4" s="170"/>
      <c r="F4" s="172"/>
    </row>
    <row r="6" spans="1:6" ht="27.75" customHeight="1">
      <c r="A6" s="1868" t="s">
        <v>225</v>
      </c>
      <c r="B6" s="1869"/>
      <c r="C6" s="1868" t="s">
        <v>226</v>
      </c>
      <c r="D6" s="1869"/>
      <c r="E6" s="1868" t="s">
        <v>227</v>
      </c>
      <c r="F6" s="1869"/>
    </row>
    <row r="7" spans="1:6" s="2" customFormat="1" ht="34.5" customHeight="1">
      <c r="A7" s="109" t="s">
        <v>223</v>
      </c>
      <c r="B7" s="178" t="s">
        <v>224</v>
      </c>
      <c r="C7" s="132" t="s">
        <v>4078</v>
      </c>
      <c r="D7" s="132" t="s">
        <v>4071</v>
      </c>
      <c r="E7" s="132" t="s">
        <v>4078</v>
      </c>
      <c r="F7" s="132" t="s">
        <v>4071</v>
      </c>
    </row>
    <row r="8" spans="1:6" s="2" customFormat="1" ht="15" customHeight="1">
      <c r="A8" s="179" t="s">
        <v>2</v>
      </c>
      <c r="B8" s="109">
        <f>+B9+B10+B11+B12</f>
        <v>13</v>
      </c>
      <c r="C8" s="109">
        <v>142</v>
      </c>
      <c r="D8" s="109">
        <v>300</v>
      </c>
      <c r="E8" s="109">
        <v>619</v>
      </c>
      <c r="F8" s="109">
        <v>1400</v>
      </c>
    </row>
    <row r="9" spans="1:6" s="2" customFormat="1">
      <c r="A9" s="242" t="s">
        <v>96</v>
      </c>
      <c r="B9" s="109">
        <v>0</v>
      </c>
      <c r="C9" s="109">
        <v>0</v>
      </c>
      <c r="D9" s="181">
        <v>0</v>
      </c>
      <c r="E9" s="109">
        <v>0</v>
      </c>
      <c r="F9" s="181">
        <v>0</v>
      </c>
    </row>
    <row r="10" spans="1:6" s="2" customFormat="1">
      <c r="A10" s="242" t="s">
        <v>97</v>
      </c>
      <c r="B10" s="109">
        <v>2</v>
      </c>
      <c r="C10" s="109">
        <v>19</v>
      </c>
      <c r="D10" s="181">
        <v>95</v>
      </c>
      <c r="E10" s="109">
        <v>30</v>
      </c>
      <c r="F10" s="181">
        <v>250</v>
      </c>
    </row>
    <row r="11" spans="1:6" s="2" customFormat="1">
      <c r="A11" s="180" t="s">
        <v>98</v>
      </c>
      <c r="B11" s="109">
        <v>11</v>
      </c>
      <c r="C11" s="109">
        <v>124</v>
      </c>
      <c r="D11" s="181">
        <v>205</v>
      </c>
      <c r="E11" s="109">
        <v>589</v>
      </c>
      <c r="F11" s="181">
        <v>1150</v>
      </c>
    </row>
    <row r="12" spans="1:6" s="2" customFormat="1">
      <c r="A12" s="243" t="s">
        <v>99</v>
      </c>
      <c r="B12" s="109">
        <v>0</v>
      </c>
      <c r="C12" s="109">
        <v>0</v>
      </c>
      <c r="D12" s="181">
        <v>0</v>
      </c>
      <c r="E12" s="109">
        <v>0</v>
      </c>
      <c r="F12" s="181">
        <v>0</v>
      </c>
    </row>
  </sheetData>
  <mergeCells count="3">
    <mergeCell ref="A6:B6"/>
    <mergeCell ref="C6:D6"/>
    <mergeCell ref="E6:F6"/>
  </mergeCells>
  <phoneticPr fontId="15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  <pageSetUpPr fitToPage="1"/>
  </sheetPr>
  <dimension ref="A1:Q44"/>
  <sheetViews>
    <sheetView view="pageBreakPreview" zoomScaleSheetLayoutView="100" workbookViewId="0">
      <selection activeCell="B29" sqref="B29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6" width="9.8554687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247"/>
      <c r="B1" s="248" t="s">
        <v>187</v>
      </c>
      <c r="C1" s="321" t="str">
        <f>Kadar.ode.!C1</f>
        <v>Општа болница Алексинац</v>
      </c>
      <c r="D1" s="249"/>
      <c r="E1" s="249"/>
      <c r="F1" s="250"/>
    </row>
    <row r="2" spans="1:17">
      <c r="A2" s="247"/>
      <c r="B2" s="248" t="s">
        <v>188</v>
      </c>
      <c r="C2" s="321">
        <f>Kadar.ode.!C2</f>
        <v>17862944</v>
      </c>
      <c r="D2" s="249"/>
      <c r="E2" s="249"/>
      <c r="F2" s="250"/>
    </row>
    <row r="3" spans="1:17">
      <c r="A3" s="247"/>
      <c r="B3" s="248" t="s">
        <v>189</v>
      </c>
      <c r="C3" s="1115">
        <v>44927</v>
      </c>
      <c r="D3" s="249"/>
      <c r="E3" s="249"/>
      <c r="F3" s="250"/>
    </row>
    <row r="4" spans="1:17" ht="14.25">
      <c r="A4" s="247"/>
      <c r="B4" s="248" t="s">
        <v>1823</v>
      </c>
      <c r="C4" s="251" t="s">
        <v>230</v>
      </c>
      <c r="D4" s="252"/>
      <c r="E4" s="252"/>
      <c r="F4" s="253"/>
    </row>
    <row r="5" spans="1:17" ht="14.25">
      <c r="A5" s="247"/>
      <c r="B5" s="248" t="s">
        <v>229</v>
      </c>
      <c r="C5" s="251"/>
      <c r="D5" s="252"/>
      <c r="E5" s="252"/>
      <c r="F5" s="253"/>
    </row>
    <row r="8" spans="1:17">
      <c r="O8" s="2"/>
      <c r="Q8" s="278"/>
    </row>
    <row r="9" spans="1:17" ht="23.25" customHeight="1">
      <c r="A9" s="1872" t="s">
        <v>6</v>
      </c>
      <c r="B9" s="1870" t="s">
        <v>55</v>
      </c>
      <c r="C9" s="1870" t="s">
        <v>186</v>
      </c>
      <c r="D9" s="1870" t="s">
        <v>1773</v>
      </c>
      <c r="E9" s="1870" t="s">
        <v>1774</v>
      </c>
      <c r="F9" s="1870"/>
      <c r="G9" s="1870" t="s">
        <v>1775</v>
      </c>
      <c r="H9" s="1870"/>
      <c r="I9" s="1870" t="s">
        <v>1776</v>
      </c>
      <c r="J9" s="1870"/>
      <c r="K9" s="1870" t="s">
        <v>1777</v>
      </c>
      <c r="L9" s="1870"/>
      <c r="M9" s="1870" t="s">
        <v>1778</v>
      </c>
      <c r="N9" s="1870"/>
      <c r="O9" s="1870" t="s">
        <v>1779</v>
      </c>
      <c r="P9" s="1870"/>
      <c r="Q9"/>
    </row>
    <row r="10" spans="1:17" ht="25.5">
      <c r="A10" s="1872"/>
      <c r="B10" s="1870"/>
      <c r="C10" s="1870"/>
      <c r="D10" s="1870"/>
      <c r="E10" s="282" t="s">
        <v>4078</v>
      </c>
      <c r="F10" s="282" t="s">
        <v>4071</v>
      </c>
      <c r="G10" s="282" t="s">
        <v>4078</v>
      </c>
      <c r="H10" s="282" t="s">
        <v>4071</v>
      </c>
      <c r="I10" s="282" t="s">
        <v>4078</v>
      </c>
      <c r="J10" s="282" t="s">
        <v>4071</v>
      </c>
      <c r="K10" s="282" t="s">
        <v>4078</v>
      </c>
      <c r="L10" s="282" t="s">
        <v>4071</v>
      </c>
      <c r="M10" s="282" t="s">
        <v>4078</v>
      </c>
      <c r="N10" s="282" t="s">
        <v>4071</v>
      </c>
      <c r="O10" s="282" t="s">
        <v>4078</v>
      </c>
      <c r="P10" s="282" t="s">
        <v>4071</v>
      </c>
      <c r="Q10"/>
    </row>
    <row r="11" spans="1:17">
      <c r="A11" s="286">
        <v>1</v>
      </c>
      <c r="B11" s="283" t="s">
        <v>1770</v>
      </c>
      <c r="C11" s="1288">
        <v>29</v>
      </c>
      <c r="D11" s="284">
        <v>2</v>
      </c>
      <c r="E11" s="284">
        <v>118</v>
      </c>
      <c r="F11" s="1213">
        <v>124</v>
      </c>
      <c r="G11" s="284">
        <v>118</v>
      </c>
      <c r="H11" s="1213">
        <v>124</v>
      </c>
      <c r="I11" s="285">
        <v>309</v>
      </c>
      <c r="J11" s="1692">
        <v>354</v>
      </c>
      <c r="K11" s="285">
        <v>342</v>
      </c>
      <c r="L11" s="1694">
        <v>442</v>
      </c>
      <c r="M11" s="689">
        <f>E11+I11</f>
        <v>427</v>
      </c>
      <c r="N11" s="1696">
        <v>478</v>
      </c>
      <c r="O11" s="689">
        <f t="shared" ref="O11:P14" si="0">G11+K11</f>
        <v>460</v>
      </c>
      <c r="P11" s="1696">
        <f t="shared" si="0"/>
        <v>566</v>
      </c>
      <c r="Q11"/>
    </row>
    <row r="12" spans="1:17">
      <c r="A12" s="286">
        <v>2</v>
      </c>
      <c r="B12" s="283" t="s">
        <v>1771</v>
      </c>
      <c r="C12" s="1288">
        <v>5</v>
      </c>
      <c r="D12" s="284"/>
      <c r="E12" s="284">
        <v>20</v>
      </c>
      <c r="F12" s="1213">
        <v>26</v>
      </c>
      <c r="G12" s="284">
        <v>20</v>
      </c>
      <c r="H12" s="1213">
        <v>26</v>
      </c>
      <c r="I12" s="285">
        <v>55</v>
      </c>
      <c r="J12" s="1215">
        <v>88</v>
      </c>
      <c r="K12" s="285">
        <v>61</v>
      </c>
      <c r="L12" s="1694">
        <v>91</v>
      </c>
      <c r="M12" s="689">
        <f>E12+I12</f>
        <v>75</v>
      </c>
      <c r="N12" s="1696">
        <f>F12+J12</f>
        <v>114</v>
      </c>
      <c r="O12" s="689">
        <f t="shared" si="0"/>
        <v>81</v>
      </c>
      <c r="P12" s="1696">
        <f t="shared" si="0"/>
        <v>117</v>
      </c>
      <c r="Q12"/>
    </row>
    <row r="13" spans="1:17">
      <c r="A13" s="287">
        <v>3</v>
      </c>
      <c r="B13" s="283" t="s">
        <v>1772</v>
      </c>
      <c r="C13" s="1288">
        <v>8</v>
      </c>
      <c r="D13" s="284">
        <v>1</v>
      </c>
      <c r="E13" s="284">
        <v>0</v>
      </c>
      <c r="F13" s="1213">
        <v>20</v>
      </c>
      <c r="G13" s="284">
        <v>0</v>
      </c>
      <c r="H13" s="1691">
        <v>20</v>
      </c>
      <c r="I13" s="285">
        <v>404</v>
      </c>
      <c r="J13" s="1215">
        <v>447</v>
      </c>
      <c r="K13" s="285">
        <v>405</v>
      </c>
      <c r="L13" s="1215">
        <v>447</v>
      </c>
      <c r="M13" s="689">
        <f>E13+I13</f>
        <v>404</v>
      </c>
      <c r="N13" s="1696">
        <f>F13+J13</f>
        <v>467</v>
      </c>
      <c r="O13" s="689">
        <f t="shared" si="0"/>
        <v>405</v>
      </c>
      <c r="P13" s="1696">
        <f t="shared" si="0"/>
        <v>467</v>
      </c>
      <c r="Q13"/>
    </row>
    <row r="14" spans="1:17">
      <c r="A14" s="286">
        <v>4</v>
      </c>
      <c r="B14" s="283" t="s">
        <v>1906</v>
      </c>
      <c r="C14" s="1288">
        <v>32</v>
      </c>
      <c r="D14" s="284">
        <v>0</v>
      </c>
      <c r="E14" s="1293">
        <v>0</v>
      </c>
      <c r="F14" s="1690">
        <v>0</v>
      </c>
      <c r="G14" s="1293">
        <v>0</v>
      </c>
      <c r="H14" s="1690">
        <v>0</v>
      </c>
      <c r="I14" s="1669">
        <v>115</v>
      </c>
      <c r="J14" s="1693">
        <v>149</v>
      </c>
      <c r="K14" s="1669">
        <v>181</v>
      </c>
      <c r="L14" s="1695">
        <v>181</v>
      </c>
      <c r="M14" s="689">
        <f>E14+I14</f>
        <v>115</v>
      </c>
      <c r="N14" s="1696">
        <f>F14+J14</f>
        <v>149</v>
      </c>
      <c r="O14" s="689">
        <f t="shared" si="0"/>
        <v>181</v>
      </c>
      <c r="P14" s="1696">
        <v>181</v>
      </c>
      <c r="Q14"/>
    </row>
    <row r="15" spans="1:17">
      <c r="A15" s="286">
        <v>5</v>
      </c>
      <c r="B15" s="283"/>
      <c r="C15" s="286"/>
      <c r="D15" s="284"/>
      <c r="E15" s="284"/>
      <c r="F15" s="1213"/>
      <c r="G15" s="284"/>
      <c r="H15" s="1213"/>
      <c r="I15" s="285"/>
      <c r="J15" s="1215"/>
      <c r="K15" s="285"/>
      <c r="L15" s="1215"/>
      <c r="M15" s="285"/>
      <c r="N15" s="1215"/>
      <c r="O15" s="285"/>
      <c r="P15" s="1215"/>
      <c r="Q15"/>
    </row>
    <row r="16" spans="1:17">
      <c r="A16" s="286">
        <v>6</v>
      </c>
      <c r="B16" s="283"/>
      <c r="C16" s="286"/>
      <c r="D16" s="284"/>
      <c r="E16" s="284"/>
      <c r="F16" s="1213"/>
      <c r="G16" s="284"/>
      <c r="H16" s="1213"/>
      <c r="I16" s="285"/>
      <c r="J16" s="1215"/>
      <c r="K16" s="285"/>
      <c r="L16" s="1215"/>
      <c r="M16" s="285"/>
      <c r="N16" s="1215"/>
      <c r="O16" s="285"/>
      <c r="P16" s="1215"/>
      <c r="Q16"/>
    </row>
    <row r="17" spans="1:17">
      <c r="A17" s="286">
        <v>7</v>
      </c>
      <c r="B17" s="283"/>
      <c r="C17" s="288"/>
      <c r="D17" s="284"/>
      <c r="E17" s="284"/>
      <c r="F17" s="1213"/>
      <c r="G17" s="284"/>
      <c r="H17" s="1213"/>
      <c r="I17" s="285"/>
      <c r="J17" s="1215"/>
      <c r="K17" s="285"/>
      <c r="L17" s="1215"/>
      <c r="M17" s="285"/>
      <c r="N17" s="1215"/>
      <c r="O17" s="285"/>
      <c r="P17" s="1215"/>
      <c r="Q17"/>
    </row>
    <row r="18" spans="1:17">
      <c r="A18" s="286">
        <v>8</v>
      </c>
      <c r="B18" s="283"/>
      <c r="C18" s="288"/>
      <c r="D18" s="284"/>
      <c r="E18" s="284"/>
      <c r="F18" s="1213"/>
      <c r="G18" s="284"/>
      <c r="H18" s="1213"/>
      <c r="I18" s="285"/>
      <c r="J18" s="1215"/>
      <c r="K18" s="285"/>
      <c r="L18" s="1215"/>
      <c r="M18" s="285"/>
      <c r="N18" s="1215"/>
      <c r="O18" s="285"/>
      <c r="P18" s="1215"/>
      <c r="Q18"/>
    </row>
    <row r="19" spans="1:17">
      <c r="A19" s="286">
        <v>9</v>
      </c>
      <c r="B19" s="283"/>
      <c r="C19" s="288"/>
      <c r="D19" s="284"/>
      <c r="E19" s="284"/>
      <c r="F19" s="1213"/>
      <c r="G19" s="284"/>
      <c r="H19" s="1213"/>
      <c r="I19" s="285"/>
      <c r="J19" s="1215"/>
      <c r="K19" s="285"/>
      <c r="L19" s="1215"/>
      <c r="M19" s="285"/>
      <c r="N19" s="1215"/>
      <c r="O19" s="285"/>
      <c r="P19" s="1215"/>
      <c r="Q19"/>
    </row>
    <row r="20" spans="1:17">
      <c r="A20" s="286">
        <v>10</v>
      </c>
      <c r="B20" s="283"/>
      <c r="C20" s="283"/>
      <c r="D20" s="289"/>
      <c r="E20" s="289"/>
      <c r="F20" s="1214"/>
      <c r="G20" s="289"/>
      <c r="H20" s="1214"/>
      <c r="I20" s="290"/>
      <c r="J20" s="1216"/>
      <c r="K20" s="290"/>
      <c r="L20" s="1216"/>
      <c r="M20" s="290"/>
      <c r="N20" s="1216"/>
      <c r="O20" s="290"/>
      <c r="P20" s="1216"/>
      <c r="Q20"/>
    </row>
    <row r="21" spans="1:17">
      <c r="A21" s="283" t="s">
        <v>2</v>
      </c>
      <c r="B21" s="283"/>
      <c r="C21" s="468">
        <f>SUM(C11:C20)</f>
        <v>74</v>
      </c>
      <c r="D21" s="468">
        <f t="shared" ref="D21:P21" si="1">SUM(D11:D20)</f>
        <v>3</v>
      </c>
      <c r="E21" s="468">
        <f t="shared" si="1"/>
        <v>138</v>
      </c>
      <c r="F21" s="468">
        <f t="shared" si="1"/>
        <v>170</v>
      </c>
      <c r="G21" s="468">
        <f t="shared" si="1"/>
        <v>138</v>
      </c>
      <c r="H21" s="468">
        <f t="shared" si="1"/>
        <v>170</v>
      </c>
      <c r="I21" s="468">
        <f t="shared" si="1"/>
        <v>883</v>
      </c>
      <c r="J21" s="468">
        <f t="shared" si="1"/>
        <v>1038</v>
      </c>
      <c r="K21" s="468">
        <f t="shared" si="1"/>
        <v>989</v>
      </c>
      <c r="L21" s="468">
        <f t="shared" si="1"/>
        <v>1161</v>
      </c>
      <c r="M21" s="468">
        <f t="shared" si="1"/>
        <v>1021</v>
      </c>
      <c r="N21" s="468">
        <f t="shared" si="1"/>
        <v>1208</v>
      </c>
      <c r="O21" s="468">
        <f t="shared" si="1"/>
        <v>1127</v>
      </c>
      <c r="P21" s="468">
        <f t="shared" si="1"/>
        <v>1331</v>
      </c>
      <c r="Q21"/>
    </row>
    <row r="22" spans="1:17">
      <c r="A22" s="3"/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/>
    </row>
    <row r="23" spans="1:17" s="281" customFormat="1">
      <c r="A23" s="1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1"/>
      <c r="N23" s="1"/>
      <c r="O23" s="1"/>
      <c r="P23" s="1"/>
      <c r="Q23" s="1"/>
    </row>
    <row r="24" spans="1:17">
      <c r="A24" s="1871"/>
      <c r="B24" s="1871"/>
      <c r="C24" s="1871"/>
      <c r="D24" s="1871"/>
      <c r="E24" s="1871"/>
      <c r="F24" s="1871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</row>
    <row r="25" spans="1:17">
      <c r="A25" s="1871"/>
      <c r="B25" s="1871"/>
      <c r="C25" s="1871"/>
      <c r="D25" s="1871"/>
      <c r="E25" s="1871"/>
      <c r="F25" s="1871"/>
    </row>
    <row r="32" spans="1:17">
      <c r="I32" s="291"/>
    </row>
    <row r="44" spans="14:14">
      <c r="N44" s="291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505" right="0.70866141732283505" top="0.74803149606299202" bottom="0.74803149606299202" header="0.31496062992126" footer="0.31496062992126"/>
  <pageSetup paperSize="9" scale="71" fitToHeight="0" orientation="landscape" errors="blank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22"/>
  <sheetViews>
    <sheetView view="pageBreakPreview" zoomScale="130" zoomScaleSheetLayoutView="130" workbookViewId="0">
      <selection activeCell="E90" sqref="E90"/>
    </sheetView>
  </sheetViews>
  <sheetFormatPr defaultRowHeight="12.75"/>
  <cols>
    <col min="1" max="1" width="13.140625" style="312" customWidth="1"/>
    <col min="2" max="2" width="20" style="312" customWidth="1"/>
    <col min="3" max="3" width="11.28515625" style="312" customWidth="1"/>
    <col min="4" max="4" width="11" style="312" customWidth="1"/>
    <col min="5" max="5" width="8" style="312" customWidth="1"/>
    <col min="6" max="6" width="9.7109375" style="312" customWidth="1"/>
    <col min="7" max="7" width="8.28515625" style="312" customWidth="1"/>
    <col min="8" max="8" width="9.5703125" style="312" customWidth="1"/>
    <col min="9" max="16384" width="9.140625" style="312"/>
  </cols>
  <sheetData>
    <row r="1" spans="1:8">
      <c r="A1" s="400"/>
      <c r="B1" s="399" t="s">
        <v>187</v>
      </c>
      <c r="C1" s="233" t="s">
        <v>3691</v>
      </c>
      <c r="D1" s="323"/>
      <c r="E1" s="323"/>
      <c r="F1" s="323"/>
      <c r="G1" s="325"/>
    </row>
    <row r="2" spans="1:8">
      <c r="A2" s="400"/>
      <c r="B2" s="399" t="s">
        <v>188</v>
      </c>
      <c r="C2" s="233">
        <v>17862944</v>
      </c>
      <c r="D2" s="323"/>
      <c r="E2" s="323"/>
      <c r="F2" s="323"/>
      <c r="G2" s="325"/>
    </row>
    <row r="3" spans="1:8">
      <c r="A3" s="400"/>
      <c r="B3" s="399"/>
      <c r="C3" s="1114"/>
      <c r="D3" s="323"/>
      <c r="E3" s="323"/>
      <c r="F3" s="323"/>
      <c r="G3" s="325"/>
    </row>
    <row r="4" spans="1:8" ht="14.25">
      <c r="A4" s="400"/>
      <c r="B4" s="399" t="s">
        <v>1905</v>
      </c>
      <c r="C4" s="322" t="s">
        <v>1791</v>
      </c>
      <c r="D4" s="324"/>
      <c r="E4" s="324"/>
      <c r="F4" s="324"/>
      <c r="G4" s="326"/>
    </row>
    <row r="5" spans="1:8" ht="14.25">
      <c r="A5" s="400"/>
      <c r="B5" s="399" t="s">
        <v>229</v>
      </c>
      <c r="C5" s="376" t="s">
        <v>1904</v>
      </c>
      <c r="D5" s="375"/>
      <c r="E5" s="375"/>
      <c r="F5" s="375"/>
      <c r="G5" s="374"/>
    </row>
    <row r="7" spans="1:8" ht="21.75" customHeight="1">
      <c r="A7" s="1864" t="s">
        <v>54</v>
      </c>
      <c r="B7" s="1864" t="s">
        <v>237</v>
      </c>
      <c r="C7" s="1874" t="s">
        <v>1784</v>
      </c>
      <c r="D7" s="1875"/>
      <c r="E7" s="1874" t="s">
        <v>1783</v>
      </c>
      <c r="F7" s="1875"/>
      <c r="G7" s="1874" t="s">
        <v>87</v>
      </c>
      <c r="H7" s="1875"/>
    </row>
    <row r="8" spans="1:8" ht="36" customHeight="1" thickBot="1">
      <c r="A8" s="1865"/>
      <c r="B8" s="1865"/>
      <c r="C8" s="327" t="s">
        <v>4078</v>
      </c>
      <c r="D8" s="313" t="s">
        <v>4071</v>
      </c>
      <c r="E8" s="327" t="s">
        <v>4078</v>
      </c>
      <c r="F8" s="313" t="s">
        <v>4071</v>
      </c>
      <c r="G8" s="327" t="s">
        <v>4078</v>
      </c>
      <c r="H8" s="313" t="s">
        <v>4071</v>
      </c>
    </row>
    <row r="9" spans="1:8" ht="11.1" customHeight="1" thickTop="1">
      <c r="A9" s="382" t="s">
        <v>1873</v>
      </c>
      <c r="B9" s="381" t="s">
        <v>1872</v>
      </c>
      <c r="C9" s="318">
        <v>14129</v>
      </c>
      <c r="D9" s="318">
        <v>10800</v>
      </c>
      <c r="E9" s="318">
        <v>898</v>
      </c>
      <c r="F9" s="318">
        <v>1500</v>
      </c>
      <c r="G9" s="319">
        <f t="shared" ref="G9:H12" si="0">C9+E9</f>
        <v>15027</v>
      </c>
      <c r="H9" s="319">
        <f t="shared" si="0"/>
        <v>12300</v>
      </c>
    </row>
    <row r="10" spans="1:8" ht="11.1" customHeight="1">
      <c r="A10" s="380" t="s">
        <v>1871</v>
      </c>
      <c r="B10" s="379" t="s">
        <v>1870</v>
      </c>
      <c r="C10" s="318">
        <v>2598</v>
      </c>
      <c r="D10" s="318">
        <v>2700</v>
      </c>
      <c r="E10" s="318"/>
      <c r="F10" s="318"/>
      <c r="G10" s="319">
        <f t="shared" si="0"/>
        <v>2598</v>
      </c>
      <c r="H10" s="319">
        <f t="shared" si="0"/>
        <v>2700</v>
      </c>
    </row>
    <row r="11" spans="1:8" ht="11.1" customHeight="1">
      <c r="A11" s="380" t="s">
        <v>1901</v>
      </c>
      <c r="B11" s="379" t="s">
        <v>1900</v>
      </c>
      <c r="C11" s="318">
        <v>581</v>
      </c>
      <c r="D11" s="318">
        <v>0</v>
      </c>
      <c r="E11" s="318"/>
      <c r="F11" s="318"/>
      <c r="G11" s="319">
        <f t="shared" si="0"/>
        <v>581</v>
      </c>
      <c r="H11" s="319">
        <f t="shared" si="0"/>
        <v>0</v>
      </c>
    </row>
    <row r="12" spans="1:8" ht="11.1" customHeight="1">
      <c r="A12" s="380" t="s">
        <v>1899</v>
      </c>
      <c r="B12" s="379" t="s">
        <v>1898</v>
      </c>
      <c r="C12" s="318">
        <v>8</v>
      </c>
      <c r="D12" s="318">
        <v>0</v>
      </c>
      <c r="E12" s="318"/>
      <c r="F12" s="318"/>
      <c r="G12" s="319">
        <f t="shared" si="0"/>
        <v>8</v>
      </c>
      <c r="H12" s="319">
        <f t="shared" si="0"/>
        <v>0</v>
      </c>
    </row>
    <row r="13" spans="1:8" ht="11.1" customHeight="1">
      <c r="A13" s="331"/>
      <c r="B13" s="317"/>
      <c r="C13" s="398"/>
      <c r="D13" s="318"/>
      <c r="E13" s="318"/>
      <c r="F13" s="318"/>
      <c r="G13" s="319"/>
      <c r="H13" s="318"/>
    </row>
    <row r="14" spans="1:8" s="315" customFormat="1" ht="11.1" customHeight="1">
      <c r="A14" s="331"/>
      <c r="B14" s="317"/>
      <c r="C14" s="318"/>
      <c r="D14" s="318"/>
      <c r="E14" s="318"/>
      <c r="F14" s="318"/>
      <c r="G14" s="319"/>
      <c r="H14" s="318"/>
    </row>
    <row r="15" spans="1:8" s="315" customFormat="1" ht="11.1" customHeight="1">
      <c r="A15" s="314" t="s">
        <v>87</v>
      </c>
      <c r="B15" s="330"/>
      <c r="C15" s="368">
        <f>SUM(C9:C14)</f>
        <v>17316</v>
      </c>
      <c r="D15" s="368">
        <f>SUM(D9:D14)</f>
        <v>13500</v>
      </c>
      <c r="E15" s="368">
        <f>SUM(E9:E14)</f>
        <v>898</v>
      </c>
      <c r="F15" s="368">
        <f>SUM(F9:F14)</f>
        <v>1500</v>
      </c>
      <c r="G15" s="368">
        <f>C15+E15</f>
        <v>18214</v>
      </c>
      <c r="H15" s="368">
        <f>D15+F15</f>
        <v>15000</v>
      </c>
    </row>
    <row r="16" spans="1:8" ht="14.25">
      <c r="A16" s="378"/>
      <c r="B16" s="377" t="s">
        <v>229</v>
      </c>
      <c r="C16" s="376" t="s">
        <v>1903</v>
      </c>
      <c r="D16" s="375"/>
      <c r="E16" s="375"/>
      <c r="F16" s="375"/>
      <c r="G16" s="374"/>
      <c r="H16" s="373"/>
    </row>
    <row r="18" spans="1:8" ht="18" customHeight="1">
      <c r="A18" s="1864" t="s">
        <v>54</v>
      </c>
      <c r="B18" s="1864" t="s">
        <v>237</v>
      </c>
      <c r="C18" s="1874" t="s">
        <v>1784</v>
      </c>
      <c r="D18" s="1875"/>
      <c r="E18" s="1874" t="s">
        <v>1783</v>
      </c>
      <c r="F18" s="1875"/>
      <c r="G18" s="1874" t="s">
        <v>87</v>
      </c>
      <c r="H18" s="1875"/>
    </row>
    <row r="19" spans="1:8" ht="35.25" customHeight="1" thickBot="1">
      <c r="A19" s="1865"/>
      <c r="B19" s="1865"/>
      <c r="C19" s="327" t="s">
        <v>4078</v>
      </c>
      <c r="D19" s="372" t="s">
        <v>4071</v>
      </c>
      <c r="E19" s="327" t="s">
        <v>4078</v>
      </c>
      <c r="F19" s="372" t="s">
        <v>4071</v>
      </c>
      <c r="G19" s="327" t="s">
        <v>4078</v>
      </c>
      <c r="H19" s="372" t="s">
        <v>4071</v>
      </c>
    </row>
    <row r="20" spans="1:8" ht="11.1" customHeight="1" thickTop="1">
      <c r="A20" s="382" t="s">
        <v>1873</v>
      </c>
      <c r="B20" s="381" t="s">
        <v>1872</v>
      </c>
      <c r="C20" s="397">
        <v>9153</v>
      </c>
      <c r="D20" s="1686">
        <v>8000</v>
      </c>
      <c r="E20" s="397">
        <v>148</v>
      </c>
      <c r="F20" s="949">
        <v>150</v>
      </c>
      <c r="G20" s="319">
        <f t="shared" ref="G20:H23" si="1">C20+E20</f>
        <v>9301</v>
      </c>
      <c r="H20" s="319">
        <f t="shared" si="1"/>
        <v>8150</v>
      </c>
    </row>
    <row r="21" spans="1:8" ht="11.1" customHeight="1">
      <c r="A21" s="380" t="s">
        <v>1871</v>
      </c>
      <c r="B21" s="379" t="s">
        <v>1870</v>
      </c>
      <c r="C21" s="397">
        <v>9337</v>
      </c>
      <c r="D21" s="1686">
        <v>8000</v>
      </c>
      <c r="E21" s="397">
        <v>93</v>
      </c>
      <c r="F21" s="949">
        <v>95</v>
      </c>
      <c r="G21" s="319">
        <f t="shared" si="1"/>
        <v>9430</v>
      </c>
      <c r="H21" s="319">
        <f t="shared" si="1"/>
        <v>8095</v>
      </c>
    </row>
    <row r="22" spans="1:8" ht="11.1" customHeight="1">
      <c r="A22" s="380" t="s">
        <v>1901</v>
      </c>
      <c r="B22" s="379" t="s">
        <v>1900</v>
      </c>
      <c r="C22" s="397">
        <v>3431</v>
      </c>
      <c r="D22" s="1686">
        <v>2000</v>
      </c>
      <c r="E22" s="397">
        <v>65</v>
      </c>
      <c r="F22" s="949">
        <v>65</v>
      </c>
      <c r="G22" s="319">
        <f t="shared" si="1"/>
        <v>3496</v>
      </c>
      <c r="H22" s="319">
        <f t="shared" si="1"/>
        <v>2065</v>
      </c>
    </row>
    <row r="23" spans="1:8" ht="11.1" customHeight="1">
      <c r="A23" s="380" t="s">
        <v>1899</v>
      </c>
      <c r="B23" s="379" t="s">
        <v>1898</v>
      </c>
      <c r="C23" s="397">
        <v>3820</v>
      </c>
      <c r="D23" s="1686">
        <v>2000</v>
      </c>
      <c r="E23" s="397">
        <v>34</v>
      </c>
      <c r="F23" s="949">
        <v>35</v>
      </c>
      <c r="G23" s="319">
        <f t="shared" si="1"/>
        <v>3854</v>
      </c>
      <c r="H23" s="319">
        <f t="shared" si="1"/>
        <v>2035</v>
      </c>
    </row>
    <row r="24" spans="1:8" ht="11.1" customHeight="1">
      <c r="A24" s="331"/>
      <c r="B24" s="317"/>
      <c r="C24" s="318"/>
      <c r="D24" s="318"/>
      <c r="E24" s="318"/>
      <c r="F24" s="318"/>
      <c r="G24" s="319"/>
      <c r="H24" s="318"/>
    </row>
    <row r="25" spans="1:8" s="315" customFormat="1" ht="11.1" customHeight="1">
      <c r="A25" s="331"/>
      <c r="B25" s="317"/>
      <c r="C25" s="318"/>
      <c r="D25" s="318"/>
      <c r="E25" s="318"/>
      <c r="F25" s="318"/>
      <c r="G25" s="319"/>
      <c r="H25" s="318"/>
    </row>
    <row r="26" spans="1:8" s="315" customFormat="1" ht="11.1" customHeight="1">
      <c r="A26" s="314" t="s">
        <v>87</v>
      </c>
      <c r="B26" s="330"/>
      <c r="C26" s="368">
        <f>SUM(C20:C25)</f>
        <v>25741</v>
      </c>
      <c r="D26" s="368">
        <f>SUM(D20:D25)</f>
        <v>20000</v>
      </c>
      <c r="E26" s="368">
        <f>SUM(E20:E25)</f>
        <v>340</v>
      </c>
      <c r="F26" s="368">
        <f>SUM(F20:F25)</f>
        <v>345</v>
      </c>
      <c r="G26" s="368">
        <f>C26+E26</f>
        <v>26081</v>
      </c>
      <c r="H26" s="368">
        <f>D26+F26</f>
        <v>20345</v>
      </c>
    </row>
    <row r="27" spans="1:8" ht="14.25">
      <c r="A27" s="378"/>
      <c r="B27" s="377" t="s">
        <v>229</v>
      </c>
      <c r="C27" s="376" t="s">
        <v>1902</v>
      </c>
      <c r="D27" s="375"/>
      <c r="E27" s="375"/>
      <c r="F27" s="375"/>
      <c r="G27" s="374"/>
      <c r="H27" s="373"/>
    </row>
    <row r="29" spans="1:8" ht="16.5" customHeight="1">
      <c r="A29" s="1864" t="s">
        <v>54</v>
      </c>
      <c r="B29" s="1864" t="s">
        <v>237</v>
      </c>
      <c r="C29" s="1874" t="s">
        <v>1784</v>
      </c>
      <c r="D29" s="1875"/>
      <c r="E29" s="1874" t="s">
        <v>1783</v>
      </c>
      <c r="F29" s="1875"/>
      <c r="G29" s="1874" t="s">
        <v>87</v>
      </c>
      <c r="H29" s="1875"/>
    </row>
    <row r="30" spans="1:8" ht="33.75" customHeight="1" thickBot="1">
      <c r="A30" s="1865"/>
      <c r="B30" s="1865"/>
      <c r="C30" s="327" t="s">
        <v>4078</v>
      </c>
      <c r="D30" s="372" t="s">
        <v>4071</v>
      </c>
      <c r="E30" s="327" t="s">
        <v>4078</v>
      </c>
      <c r="F30" s="372" t="s">
        <v>4071</v>
      </c>
      <c r="G30" s="327" t="s">
        <v>4078</v>
      </c>
      <c r="H30" s="372" t="s">
        <v>4071</v>
      </c>
    </row>
    <row r="31" spans="1:8" ht="11.1" customHeight="1" thickTop="1">
      <c r="A31" s="382" t="s">
        <v>1873</v>
      </c>
      <c r="B31" s="381" t="s">
        <v>1872</v>
      </c>
      <c r="C31" s="397">
        <v>5116</v>
      </c>
      <c r="D31" s="1686">
        <v>4500</v>
      </c>
      <c r="E31" s="318">
        <v>14</v>
      </c>
      <c r="F31" s="318">
        <v>15</v>
      </c>
      <c r="G31" s="319">
        <f t="shared" ref="G31:H34" si="2">C31+E31</f>
        <v>5130</v>
      </c>
      <c r="H31" s="319">
        <f t="shared" si="2"/>
        <v>4515</v>
      </c>
    </row>
    <row r="32" spans="1:8" ht="11.1" customHeight="1">
      <c r="A32" s="380" t="s">
        <v>1871</v>
      </c>
      <c r="B32" s="379" t="s">
        <v>1870</v>
      </c>
      <c r="C32" s="397">
        <v>3802</v>
      </c>
      <c r="D32" s="1686">
        <v>3500</v>
      </c>
      <c r="E32" s="318">
        <v>12</v>
      </c>
      <c r="F32" s="318">
        <v>15</v>
      </c>
      <c r="G32" s="319">
        <f t="shared" si="2"/>
        <v>3814</v>
      </c>
      <c r="H32" s="319">
        <f t="shared" si="2"/>
        <v>3515</v>
      </c>
    </row>
    <row r="33" spans="1:8" ht="11.1" customHeight="1">
      <c r="A33" s="380" t="s">
        <v>1901</v>
      </c>
      <c r="B33" s="379" t="s">
        <v>1900</v>
      </c>
      <c r="C33" s="397">
        <v>2271</v>
      </c>
      <c r="D33" s="1686">
        <v>2000</v>
      </c>
      <c r="E33" s="318">
        <v>18</v>
      </c>
      <c r="F33" s="318">
        <v>20</v>
      </c>
      <c r="G33" s="319">
        <f t="shared" si="2"/>
        <v>2289</v>
      </c>
      <c r="H33" s="319">
        <f t="shared" si="2"/>
        <v>2020</v>
      </c>
    </row>
    <row r="34" spans="1:8" ht="11.1" customHeight="1">
      <c r="A34" s="380" t="s">
        <v>1899</v>
      </c>
      <c r="B34" s="379" t="s">
        <v>1898</v>
      </c>
      <c r="C34" s="397">
        <v>1732</v>
      </c>
      <c r="D34" s="1686">
        <v>1500</v>
      </c>
      <c r="E34" s="318">
        <v>8</v>
      </c>
      <c r="F34" s="318">
        <v>10</v>
      </c>
      <c r="G34" s="319">
        <f t="shared" si="2"/>
        <v>1740</v>
      </c>
      <c r="H34" s="319">
        <f t="shared" si="2"/>
        <v>1510</v>
      </c>
    </row>
    <row r="35" spans="1:8" ht="11.1" customHeight="1">
      <c r="A35" s="331"/>
      <c r="B35" s="317"/>
      <c r="C35" s="318"/>
      <c r="D35" s="318"/>
      <c r="E35" s="318"/>
      <c r="F35" s="318"/>
      <c r="G35" s="319"/>
      <c r="H35" s="318"/>
    </row>
    <row r="36" spans="1:8" s="315" customFormat="1" ht="11.1" customHeight="1">
      <c r="A36" s="331"/>
      <c r="B36" s="317"/>
      <c r="C36" s="318"/>
      <c r="D36" s="318"/>
      <c r="E36" s="318"/>
      <c r="F36" s="318"/>
      <c r="G36" s="319"/>
      <c r="H36" s="318"/>
    </row>
    <row r="37" spans="1:8" s="315" customFormat="1" ht="11.1" customHeight="1">
      <c r="A37" s="314" t="s">
        <v>87</v>
      </c>
      <c r="B37" s="330"/>
      <c r="C37" s="368">
        <f>SUM(C31:C36)</f>
        <v>12921</v>
      </c>
      <c r="D37" s="368">
        <f>SUM(D31:D36)</f>
        <v>11500</v>
      </c>
      <c r="E37" s="368">
        <f>SUM(E31:E36)</f>
        <v>52</v>
      </c>
      <c r="F37" s="368">
        <f>SUM(F31:F36)</f>
        <v>60</v>
      </c>
      <c r="G37" s="368">
        <f>C37+E37</f>
        <v>12973</v>
      </c>
      <c r="H37" s="368">
        <f>D37+F37</f>
        <v>11560</v>
      </c>
    </row>
    <row r="38" spans="1:8" ht="14.25">
      <c r="A38" s="378"/>
      <c r="B38" s="377" t="s">
        <v>229</v>
      </c>
      <c r="C38" s="376" t="s">
        <v>1897</v>
      </c>
      <c r="D38" s="375"/>
      <c r="E38" s="375"/>
      <c r="F38" s="375"/>
      <c r="G38" s="374"/>
      <c r="H38" s="373"/>
    </row>
    <row r="40" spans="1:8" ht="18" customHeight="1">
      <c r="A40" s="1864" t="s">
        <v>54</v>
      </c>
      <c r="B40" s="1864" t="s">
        <v>237</v>
      </c>
      <c r="C40" s="1874" t="s">
        <v>1784</v>
      </c>
      <c r="D40" s="1875"/>
      <c r="E40" s="1874" t="s">
        <v>1783</v>
      </c>
      <c r="F40" s="1875"/>
      <c r="G40" s="1874" t="s">
        <v>87</v>
      </c>
      <c r="H40" s="1875"/>
    </row>
    <row r="41" spans="1:8" ht="35.25" customHeight="1" thickBot="1">
      <c r="A41" s="1865"/>
      <c r="B41" s="1865"/>
      <c r="C41" s="327" t="s">
        <v>4078</v>
      </c>
      <c r="D41" s="372" t="s">
        <v>4071</v>
      </c>
      <c r="E41" s="327" t="s">
        <v>4078</v>
      </c>
      <c r="F41" s="372" t="s">
        <v>4071</v>
      </c>
      <c r="G41" s="327" t="s">
        <v>4078</v>
      </c>
      <c r="H41" s="372" t="s">
        <v>4071</v>
      </c>
    </row>
    <row r="42" spans="1:8" ht="11.1" customHeight="1" thickTop="1">
      <c r="A42" s="382" t="s">
        <v>1873</v>
      </c>
      <c r="B42" s="381" t="s">
        <v>1872</v>
      </c>
      <c r="C42" s="397">
        <v>3041</v>
      </c>
      <c r="D42" s="1687">
        <v>2150</v>
      </c>
      <c r="E42" s="318">
        <v>41</v>
      </c>
      <c r="F42" s="318">
        <v>40</v>
      </c>
      <c r="G42" s="319">
        <f>C42+E42</f>
        <v>3082</v>
      </c>
      <c r="H42" s="319">
        <f>D42+F42</f>
        <v>2190</v>
      </c>
    </row>
    <row r="43" spans="1:8" ht="11.1" customHeight="1">
      <c r="A43" s="380" t="s">
        <v>1871</v>
      </c>
      <c r="B43" s="379" t="s">
        <v>1870</v>
      </c>
      <c r="C43" s="318">
        <v>1597</v>
      </c>
      <c r="D43" s="1687">
        <v>1100</v>
      </c>
      <c r="E43" s="318">
        <v>16</v>
      </c>
      <c r="F43" s="318">
        <v>15</v>
      </c>
      <c r="G43" s="319">
        <f>C43+E43</f>
        <v>1613</v>
      </c>
      <c r="H43" s="319">
        <f>D43+F43</f>
        <v>1115</v>
      </c>
    </row>
    <row r="44" spans="1:8" ht="11.1" customHeight="1">
      <c r="A44" s="331"/>
      <c r="B44" s="317"/>
      <c r="C44" s="397"/>
      <c r="D44" s="369"/>
      <c r="E44" s="318"/>
      <c r="F44" s="318"/>
      <c r="G44" s="319"/>
      <c r="H44" s="318"/>
    </row>
    <row r="45" spans="1:8" ht="11.1" customHeight="1">
      <c r="A45" s="331"/>
      <c r="B45" s="317"/>
      <c r="C45" s="397"/>
      <c r="D45" s="369"/>
      <c r="E45" s="318"/>
      <c r="F45" s="318"/>
      <c r="G45" s="319"/>
      <c r="H45" s="318"/>
    </row>
    <row r="46" spans="1:8" ht="11.1" customHeight="1">
      <c r="A46" s="331"/>
      <c r="B46" s="317"/>
      <c r="C46" s="318"/>
      <c r="D46" s="318"/>
      <c r="E46" s="318"/>
      <c r="F46" s="318"/>
      <c r="G46" s="319"/>
      <c r="H46" s="318"/>
    </row>
    <row r="47" spans="1:8" s="315" customFormat="1" ht="11.1" customHeight="1">
      <c r="A47" s="331"/>
      <c r="B47" s="317"/>
      <c r="C47" s="318"/>
      <c r="D47" s="318"/>
      <c r="E47" s="318"/>
      <c r="F47" s="318"/>
      <c r="G47" s="319"/>
      <c r="H47" s="318"/>
    </row>
    <row r="48" spans="1:8" s="315" customFormat="1" ht="11.1" customHeight="1">
      <c r="A48" s="314" t="s">
        <v>87</v>
      </c>
      <c r="B48" s="330"/>
      <c r="C48" s="368">
        <f>SUM(C42:C47)</f>
        <v>4638</v>
      </c>
      <c r="D48" s="368">
        <f>SUM(D42:D47)</f>
        <v>3250</v>
      </c>
      <c r="E48" s="368">
        <f>SUM(E42:E47)</f>
        <v>57</v>
      </c>
      <c r="F48" s="368">
        <f>SUM(F42:F47)</f>
        <v>55</v>
      </c>
      <c r="G48" s="368">
        <f>C48+E48</f>
        <v>4695</v>
      </c>
      <c r="H48" s="368">
        <f>D48+F48</f>
        <v>3305</v>
      </c>
    </row>
    <row r="49" spans="1:8" ht="14.25">
      <c r="A49" s="378"/>
      <c r="B49" s="377" t="s">
        <v>229</v>
      </c>
      <c r="C49" s="376" t="s">
        <v>1896</v>
      </c>
      <c r="D49" s="375"/>
      <c r="E49" s="375"/>
      <c r="F49" s="375"/>
      <c r="G49" s="374"/>
      <c r="H49" s="373"/>
    </row>
    <row r="51" spans="1:8" ht="17.25" customHeight="1">
      <c r="A51" s="1864" t="s">
        <v>54</v>
      </c>
      <c r="B51" s="1864" t="s">
        <v>237</v>
      </c>
      <c r="C51" s="1874" t="s">
        <v>1784</v>
      </c>
      <c r="D51" s="1875"/>
      <c r="E51" s="1874" t="s">
        <v>1783</v>
      </c>
      <c r="F51" s="1875"/>
      <c r="G51" s="1874" t="s">
        <v>87</v>
      </c>
      <c r="H51" s="1875"/>
    </row>
    <row r="52" spans="1:8" ht="30.75" customHeight="1" thickBot="1">
      <c r="A52" s="1865"/>
      <c r="B52" s="1865"/>
      <c r="C52" s="327" t="s">
        <v>4078</v>
      </c>
      <c r="D52" s="372" t="s">
        <v>4071</v>
      </c>
      <c r="E52" s="327" t="s">
        <v>4078</v>
      </c>
      <c r="F52" s="372" t="s">
        <v>4071</v>
      </c>
      <c r="G52" s="327" t="s">
        <v>4078</v>
      </c>
      <c r="H52" s="372" t="s">
        <v>4071</v>
      </c>
    </row>
    <row r="53" spans="1:8" ht="11.1" customHeight="1" thickTop="1">
      <c r="A53" s="1104" t="s">
        <v>1873</v>
      </c>
      <c r="B53" s="1105" t="s">
        <v>1872</v>
      </c>
      <c r="C53" s="1106">
        <v>343</v>
      </c>
      <c r="D53" s="905">
        <v>500</v>
      </c>
      <c r="E53" s="1107"/>
      <c r="F53" s="1107">
        <v>200</v>
      </c>
      <c r="G53" s="1108">
        <f>C53+E53</f>
        <v>343</v>
      </c>
      <c r="H53" s="1108">
        <f>D53+F53</f>
        <v>700</v>
      </c>
    </row>
    <row r="54" spans="1:8" ht="11.1" customHeight="1">
      <c r="A54" s="380" t="s">
        <v>1871</v>
      </c>
      <c r="B54" s="379" t="s">
        <v>1870</v>
      </c>
      <c r="C54" s="1102">
        <v>0</v>
      </c>
      <c r="D54" s="184">
        <v>50</v>
      </c>
      <c r="E54" s="393"/>
      <c r="F54" s="393">
        <v>50</v>
      </c>
      <c r="G54" s="319">
        <f>C54+E54</f>
        <v>0</v>
      </c>
      <c r="H54" s="1108">
        <f>D54+F54</f>
        <v>100</v>
      </c>
    </row>
    <row r="55" spans="1:8" ht="11.1" customHeight="1">
      <c r="A55" s="384"/>
      <c r="B55" s="370"/>
      <c r="C55" s="395"/>
      <c r="D55" s="1103"/>
      <c r="E55" s="393"/>
      <c r="F55" s="393"/>
      <c r="G55" s="319"/>
      <c r="H55" s="319"/>
    </row>
    <row r="56" spans="1:8" ht="11.1" customHeight="1">
      <c r="A56" s="331"/>
      <c r="B56" s="317"/>
      <c r="C56" s="318"/>
      <c r="D56" s="318"/>
      <c r="E56" s="318"/>
      <c r="F56" s="318"/>
      <c r="G56" s="319"/>
      <c r="H56" s="318"/>
    </row>
    <row r="57" spans="1:8" ht="11.1" customHeight="1">
      <c r="A57" s="331"/>
      <c r="B57" s="317"/>
      <c r="C57" s="318"/>
      <c r="D57" s="318"/>
      <c r="E57" s="318"/>
      <c r="F57" s="318"/>
      <c r="G57" s="319"/>
      <c r="H57" s="318"/>
    </row>
    <row r="58" spans="1:8" s="315" customFormat="1" ht="11.1" customHeight="1">
      <c r="A58" s="331"/>
      <c r="B58" s="317"/>
      <c r="C58" s="318"/>
      <c r="D58" s="318"/>
      <c r="E58" s="318"/>
      <c r="F58" s="318"/>
      <c r="G58" s="319"/>
      <c r="H58" s="318"/>
    </row>
    <row r="59" spans="1:8" s="315" customFormat="1" ht="11.1" customHeight="1">
      <c r="A59" s="314" t="s">
        <v>87</v>
      </c>
      <c r="B59" s="330"/>
      <c r="C59" s="368">
        <f>SUM(C53:C58)</f>
        <v>343</v>
      </c>
      <c r="D59" s="368">
        <f>SUM(D53:D58)</f>
        <v>550</v>
      </c>
      <c r="E59" s="368">
        <f>SUM(E53:E58)</f>
        <v>0</v>
      </c>
      <c r="F59" s="368">
        <f>SUM(F53:F58)</f>
        <v>250</v>
      </c>
      <c r="G59" s="368">
        <f>C59+E59</f>
        <v>343</v>
      </c>
      <c r="H59" s="368">
        <f>D59+F59</f>
        <v>800</v>
      </c>
    </row>
    <row r="60" spans="1:8" ht="14.25">
      <c r="A60" s="378"/>
      <c r="B60" s="377" t="s">
        <v>229</v>
      </c>
      <c r="C60" s="376" t="s">
        <v>1895</v>
      </c>
      <c r="D60" s="375"/>
      <c r="E60" s="375"/>
      <c r="F60" s="375"/>
      <c r="G60" s="374"/>
      <c r="H60" s="373"/>
    </row>
    <row r="62" spans="1:8" ht="18" customHeight="1">
      <c r="A62" s="1864" t="s">
        <v>54</v>
      </c>
      <c r="B62" s="1864" t="s">
        <v>237</v>
      </c>
      <c r="C62" s="1874" t="s">
        <v>1784</v>
      </c>
      <c r="D62" s="1875"/>
      <c r="E62" s="1874" t="s">
        <v>1783</v>
      </c>
      <c r="F62" s="1875"/>
      <c r="G62" s="1874" t="s">
        <v>87</v>
      </c>
      <c r="H62" s="1875"/>
    </row>
    <row r="63" spans="1:8" ht="32.25" customHeight="1" thickBot="1">
      <c r="A63" s="1865"/>
      <c r="B63" s="1865"/>
      <c r="C63" s="327" t="s">
        <v>4078</v>
      </c>
      <c r="D63" s="372" t="s">
        <v>4071</v>
      </c>
      <c r="E63" s="327" t="s">
        <v>4078</v>
      </c>
      <c r="F63" s="372" t="s">
        <v>4071</v>
      </c>
      <c r="G63" s="327" t="s">
        <v>4078</v>
      </c>
      <c r="H63" s="372" t="s">
        <v>4071</v>
      </c>
    </row>
    <row r="64" spans="1:8" ht="11.1" customHeight="1" thickTop="1">
      <c r="A64" s="382" t="s">
        <v>1873</v>
      </c>
      <c r="B64" s="381" t="s">
        <v>1872</v>
      </c>
      <c r="C64" s="396">
        <v>2850</v>
      </c>
      <c r="D64" s="954">
        <v>4000</v>
      </c>
      <c r="E64" s="393">
        <v>61</v>
      </c>
      <c r="F64" s="393">
        <v>80</v>
      </c>
      <c r="G64" s="319">
        <f>C64+E64</f>
        <v>2911</v>
      </c>
      <c r="H64" s="319">
        <f>D64+F64</f>
        <v>4080</v>
      </c>
    </row>
    <row r="65" spans="1:8" ht="11.1" customHeight="1">
      <c r="A65" s="380" t="s">
        <v>1871</v>
      </c>
      <c r="B65" s="379" t="s">
        <v>1870</v>
      </c>
      <c r="C65" s="396">
        <v>161</v>
      </c>
      <c r="D65" s="954">
        <v>1000</v>
      </c>
      <c r="E65" s="393">
        <v>0</v>
      </c>
      <c r="F65" s="393">
        <v>1</v>
      </c>
      <c r="G65" s="319">
        <f>C65+E65</f>
        <v>161</v>
      </c>
      <c r="H65" s="319">
        <f>D65+F65</f>
        <v>1001</v>
      </c>
    </row>
    <row r="66" spans="1:8" ht="11.1" customHeight="1">
      <c r="A66" s="384" t="s">
        <v>1894</v>
      </c>
      <c r="B66" s="370" t="s">
        <v>1893</v>
      </c>
      <c r="C66" s="395"/>
      <c r="D66" s="394"/>
      <c r="E66" s="393"/>
      <c r="F66" s="393"/>
      <c r="G66" s="319"/>
      <c r="H66" s="319"/>
    </row>
    <row r="67" spans="1:8" ht="11.1" customHeight="1">
      <c r="A67" s="331"/>
      <c r="B67" s="317"/>
      <c r="C67" s="318"/>
      <c r="D67" s="318"/>
      <c r="E67" s="318"/>
      <c r="F67" s="318"/>
      <c r="G67" s="319"/>
      <c r="H67" s="318"/>
    </row>
    <row r="68" spans="1:8" ht="11.1" customHeight="1">
      <c r="A68" s="331"/>
      <c r="B68" s="317"/>
      <c r="C68" s="318"/>
      <c r="D68" s="318"/>
      <c r="E68" s="318"/>
      <c r="F68" s="318"/>
      <c r="G68" s="319"/>
      <c r="H68" s="318"/>
    </row>
    <row r="69" spans="1:8" s="315" customFormat="1" ht="11.1" customHeight="1">
      <c r="A69" s="331"/>
      <c r="B69" s="317"/>
      <c r="C69" s="318"/>
      <c r="D69" s="318"/>
      <c r="E69" s="318"/>
      <c r="F69" s="318"/>
      <c r="G69" s="319"/>
      <c r="H69" s="318"/>
    </row>
    <row r="70" spans="1:8" s="315" customFormat="1" ht="11.1" customHeight="1">
      <c r="A70" s="314" t="s">
        <v>87</v>
      </c>
      <c r="B70" s="330"/>
      <c r="C70" s="368">
        <f>SUM(C64:C69)</f>
        <v>3011</v>
      </c>
      <c r="D70" s="368">
        <v>5000</v>
      </c>
      <c r="E70" s="368">
        <f>SUM(E64:E69)</f>
        <v>61</v>
      </c>
      <c r="F70" s="368">
        <f>SUM(F64:F69)</f>
        <v>81</v>
      </c>
      <c r="G70" s="368">
        <f>C70+E70</f>
        <v>3072</v>
      </c>
      <c r="H70" s="368">
        <f>D70+F70</f>
        <v>5081</v>
      </c>
    </row>
    <row r="71" spans="1:8" ht="14.25">
      <c r="A71" s="378"/>
      <c r="B71" s="377" t="s">
        <v>229</v>
      </c>
      <c r="C71" s="376" t="s">
        <v>1892</v>
      </c>
      <c r="D71" s="375"/>
      <c r="E71" s="375"/>
      <c r="F71" s="375"/>
      <c r="G71" s="374"/>
      <c r="H71" s="373"/>
    </row>
    <row r="73" spans="1:8" ht="15.75" customHeight="1">
      <c r="A73" s="1864" t="s">
        <v>54</v>
      </c>
      <c r="B73" s="1864" t="s">
        <v>237</v>
      </c>
      <c r="C73" s="1874" t="s">
        <v>1784</v>
      </c>
      <c r="D73" s="1875"/>
      <c r="E73" s="1874" t="s">
        <v>1783</v>
      </c>
      <c r="F73" s="1875"/>
      <c r="G73" s="1874" t="s">
        <v>87</v>
      </c>
      <c r="H73" s="1875"/>
    </row>
    <row r="74" spans="1:8" ht="32.25" customHeight="1" thickBot="1">
      <c r="A74" s="1865"/>
      <c r="B74" s="1865"/>
      <c r="C74" s="327" t="s">
        <v>4078</v>
      </c>
      <c r="D74" s="372" t="s">
        <v>4071</v>
      </c>
      <c r="E74" s="327" t="s">
        <v>4078</v>
      </c>
      <c r="F74" s="372" t="s">
        <v>4071</v>
      </c>
      <c r="G74" s="327" t="s">
        <v>4078</v>
      </c>
      <c r="H74" s="372" t="s">
        <v>4071</v>
      </c>
    </row>
    <row r="75" spans="1:8" ht="11.1" customHeight="1" thickTop="1">
      <c r="A75" s="382" t="s">
        <v>1873</v>
      </c>
      <c r="B75" s="381" t="s">
        <v>1872</v>
      </c>
      <c r="C75" s="318">
        <v>7935</v>
      </c>
      <c r="D75" s="318">
        <v>8400</v>
      </c>
      <c r="E75" s="318"/>
      <c r="F75" s="318"/>
      <c r="G75" s="319">
        <f>C75+E75</f>
        <v>7935</v>
      </c>
      <c r="H75" s="319">
        <f>D75+F75</f>
        <v>8400</v>
      </c>
    </row>
    <row r="76" spans="1:8" ht="11.1" customHeight="1">
      <c r="A76" s="380" t="s">
        <v>1871</v>
      </c>
      <c r="B76" s="379" t="s">
        <v>1870</v>
      </c>
      <c r="C76" s="318">
        <v>456</v>
      </c>
      <c r="D76" s="318">
        <v>530</v>
      </c>
      <c r="E76" s="318"/>
      <c r="F76" s="318"/>
      <c r="G76" s="319">
        <f>C76+E76</f>
        <v>456</v>
      </c>
      <c r="H76" s="319">
        <f>D76+F76</f>
        <v>530</v>
      </c>
    </row>
    <row r="77" spans="1:8" ht="11.1" customHeight="1">
      <c r="A77" s="331"/>
      <c r="B77" s="317"/>
      <c r="C77" s="318"/>
      <c r="D77" s="318"/>
      <c r="E77" s="318"/>
      <c r="F77" s="318"/>
      <c r="G77" s="319"/>
      <c r="H77" s="318"/>
    </row>
    <row r="78" spans="1:8" ht="11.1" customHeight="1">
      <c r="A78" s="331"/>
      <c r="B78" s="317"/>
      <c r="C78" s="318"/>
      <c r="D78" s="318"/>
      <c r="E78" s="318"/>
      <c r="F78" s="318"/>
      <c r="G78" s="319"/>
      <c r="H78" s="318"/>
    </row>
    <row r="79" spans="1:8" ht="11.1" customHeight="1">
      <c r="A79" s="331"/>
      <c r="B79" s="317"/>
      <c r="C79" s="318"/>
      <c r="D79" s="318"/>
      <c r="E79" s="318"/>
      <c r="F79" s="318"/>
      <c r="G79" s="319"/>
      <c r="H79" s="318"/>
    </row>
    <row r="80" spans="1:8" s="315" customFormat="1" ht="11.1" customHeight="1">
      <c r="A80" s="331"/>
      <c r="B80" s="317"/>
      <c r="C80" s="318"/>
      <c r="D80" s="318"/>
      <c r="E80" s="318"/>
      <c r="F80" s="318"/>
      <c r="G80" s="319"/>
      <c r="H80" s="318"/>
    </row>
    <row r="81" spans="1:8" s="315" customFormat="1" ht="11.1" customHeight="1">
      <c r="A81" s="314" t="s">
        <v>87</v>
      </c>
      <c r="B81" s="330"/>
      <c r="C81" s="368">
        <f>SUM(C75:C80)</f>
        <v>8391</v>
      </c>
      <c r="D81" s="368">
        <f>SUM(D75:D80)</f>
        <v>8930</v>
      </c>
      <c r="E81" s="368">
        <f>SUM(E75:E80)</f>
        <v>0</v>
      </c>
      <c r="F81" s="368">
        <f>SUM(F75:F80)</f>
        <v>0</v>
      </c>
      <c r="G81" s="368">
        <f>C81+E81</f>
        <v>8391</v>
      </c>
      <c r="H81" s="368">
        <f>D81+F81</f>
        <v>8930</v>
      </c>
    </row>
    <row r="82" spans="1:8" ht="14.25">
      <c r="A82" s="378"/>
      <c r="B82" s="377" t="s">
        <v>229</v>
      </c>
      <c r="C82" s="376" t="s">
        <v>1891</v>
      </c>
      <c r="D82" s="375"/>
      <c r="E82" s="375"/>
      <c r="F82" s="375"/>
      <c r="G82" s="374"/>
      <c r="H82" s="373"/>
    </row>
    <row r="84" spans="1:8" ht="17.25" customHeight="1">
      <c r="A84" s="1864" t="s">
        <v>54</v>
      </c>
      <c r="B84" s="1864" t="s">
        <v>237</v>
      </c>
      <c r="C84" s="1874" t="s">
        <v>1784</v>
      </c>
      <c r="D84" s="1875"/>
      <c r="E84" s="1874" t="s">
        <v>1783</v>
      </c>
      <c r="F84" s="1875"/>
      <c r="G84" s="1874" t="s">
        <v>87</v>
      </c>
      <c r="H84" s="1875"/>
    </row>
    <row r="85" spans="1:8" ht="32.25" customHeight="1" thickBot="1">
      <c r="A85" s="1865"/>
      <c r="B85" s="1876"/>
      <c r="C85" s="392" t="s">
        <v>4078</v>
      </c>
      <c r="D85" s="391" t="s">
        <v>4071</v>
      </c>
      <c r="E85" s="392" t="s">
        <v>4078</v>
      </c>
      <c r="F85" s="391" t="s">
        <v>4071</v>
      </c>
      <c r="G85" s="327" t="s">
        <v>4078</v>
      </c>
      <c r="H85" s="372" t="s">
        <v>4071</v>
      </c>
    </row>
    <row r="86" spans="1:8" ht="11.1" customHeight="1" thickTop="1">
      <c r="A86" s="390" t="s">
        <v>1873</v>
      </c>
      <c r="B86" s="389" t="s">
        <v>1872</v>
      </c>
      <c r="C86" s="184">
        <v>4266</v>
      </c>
      <c r="D86" s="1688">
        <v>2750</v>
      </c>
      <c r="E86" s="184">
        <v>1273</v>
      </c>
      <c r="F86" s="1688">
        <v>900</v>
      </c>
      <c r="G86" s="319">
        <f t="shared" ref="G86:H88" si="3">C86+E86</f>
        <v>5539</v>
      </c>
      <c r="H86" s="319">
        <f t="shared" si="3"/>
        <v>3650</v>
      </c>
    </row>
    <row r="87" spans="1:8" ht="11.1" customHeight="1">
      <c r="A87" s="388" t="s">
        <v>1871</v>
      </c>
      <c r="B87" s="387" t="s">
        <v>1870</v>
      </c>
      <c r="C87" s="184">
        <v>5572</v>
      </c>
      <c r="D87" s="1688">
        <v>2000</v>
      </c>
      <c r="E87" s="184"/>
      <c r="F87" s="184"/>
      <c r="G87" s="319">
        <f t="shared" si="3"/>
        <v>5572</v>
      </c>
      <c r="H87" s="319">
        <f t="shared" si="3"/>
        <v>2000</v>
      </c>
    </row>
    <row r="88" spans="1:8" ht="11.1" customHeight="1">
      <c r="A88" s="386" t="s">
        <v>1888</v>
      </c>
      <c r="B88" s="385" t="s">
        <v>1887</v>
      </c>
      <c r="C88" s="184">
        <v>298</v>
      </c>
      <c r="D88" s="1688">
        <v>100</v>
      </c>
      <c r="E88" s="184"/>
      <c r="F88" s="184"/>
      <c r="G88" s="319">
        <f t="shared" si="3"/>
        <v>298</v>
      </c>
      <c r="H88" s="319">
        <f t="shared" si="3"/>
        <v>100</v>
      </c>
    </row>
    <row r="89" spans="1:8" ht="11.1" customHeight="1">
      <c r="A89" s="331"/>
      <c r="B89" s="317"/>
      <c r="C89" s="318"/>
      <c r="D89" s="318"/>
      <c r="E89" s="318"/>
      <c r="F89" s="318"/>
      <c r="G89" s="319"/>
      <c r="H89" s="318"/>
    </row>
    <row r="90" spans="1:8" ht="11.1" customHeight="1">
      <c r="A90" s="331"/>
      <c r="B90" s="317"/>
      <c r="C90" s="318"/>
      <c r="D90" s="318"/>
      <c r="E90" s="318"/>
      <c r="F90" s="318"/>
      <c r="G90" s="319"/>
      <c r="H90" s="318"/>
    </row>
    <row r="91" spans="1:8" s="315" customFormat="1" ht="11.1" customHeight="1">
      <c r="A91" s="331"/>
      <c r="B91" s="317"/>
      <c r="C91" s="318"/>
      <c r="D91" s="318"/>
      <c r="E91" s="318"/>
      <c r="F91" s="318"/>
      <c r="G91" s="319"/>
      <c r="H91" s="318"/>
    </row>
    <row r="92" spans="1:8" s="315" customFormat="1" ht="11.1" customHeight="1">
      <c r="A92" s="314" t="s">
        <v>87</v>
      </c>
      <c r="B92" s="330"/>
      <c r="C92" s="368">
        <f>SUM(C86:C91)</f>
        <v>10136</v>
      </c>
      <c r="D92" s="368">
        <f>SUM(D86:D91)</f>
        <v>4850</v>
      </c>
      <c r="E92" s="368">
        <f>SUM(E86:E91)</f>
        <v>1273</v>
      </c>
      <c r="F92" s="368">
        <f>SUM(F86:F91)</f>
        <v>900</v>
      </c>
      <c r="G92" s="368">
        <f>C92+E92</f>
        <v>11409</v>
      </c>
      <c r="H92" s="368">
        <f>D92+F92</f>
        <v>5750</v>
      </c>
    </row>
    <row r="93" spans="1:8" ht="14.25">
      <c r="A93" s="378"/>
      <c r="B93" s="377" t="s">
        <v>229</v>
      </c>
      <c r="C93" s="376" t="s">
        <v>1890</v>
      </c>
      <c r="D93" s="375"/>
      <c r="E93" s="375"/>
      <c r="F93" s="375"/>
      <c r="G93" s="374"/>
      <c r="H93" s="373"/>
    </row>
    <row r="95" spans="1:8" ht="17.25" customHeight="1">
      <c r="A95" s="1864" t="s">
        <v>54</v>
      </c>
      <c r="B95" s="1864" t="s">
        <v>237</v>
      </c>
      <c r="C95" s="1874" t="s">
        <v>1784</v>
      </c>
      <c r="D95" s="1875"/>
      <c r="E95" s="1874" t="s">
        <v>1783</v>
      </c>
      <c r="F95" s="1875"/>
      <c r="G95" s="1874" t="s">
        <v>87</v>
      </c>
      <c r="H95" s="1875"/>
    </row>
    <row r="96" spans="1:8" ht="37.5" customHeight="1" thickBot="1">
      <c r="A96" s="1865"/>
      <c r="B96" s="1865"/>
      <c r="C96" s="327" t="s">
        <v>4078</v>
      </c>
      <c r="D96" s="372" t="s">
        <v>4071</v>
      </c>
      <c r="E96" s="327" t="s">
        <v>4078</v>
      </c>
      <c r="F96" s="372" t="s">
        <v>4071</v>
      </c>
      <c r="G96" s="327" t="s">
        <v>4078</v>
      </c>
      <c r="H96" s="372" t="s">
        <v>4071</v>
      </c>
    </row>
    <row r="97" spans="1:8" ht="11.1" customHeight="1" thickTop="1">
      <c r="A97" s="382" t="s">
        <v>1873</v>
      </c>
      <c r="B97" s="381" t="s">
        <v>1872</v>
      </c>
      <c r="C97" s="318">
        <v>4998</v>
      </c>
      <c r="D97" s="318">
        <v>6500</v>
      </c>
      <c r="E97" s="318">
        <v>45</v>
      </c>
      <c r="F97" s="318">
        <v>50</v>
      </c>
      <c r="G97" s="319">
        <f t="shared" ref="G97:H99" si="4">C97+E97</f>
        <v>5043</v>
      </c>
      <c r="H97" s="319">
        <f t="shared" si="4"/>
        <v>6550</v>
      </c>
    </row>
    <row r="98" spans="1:8" ht="11.1" customHeight="1">
      <c r="A98" s="380" t="s">
        <v>1871</v>
      </c>
      <c r="B98" s="379" t="s">
        <v>1870</v>
      </c>
      <c r="C98" s="318">
        <v>3905</v>
      </c>
      <c r="D98" s="318">
        <v>4500</v>
      </c>
      <c r="E98" s="318"/>
      <c r="F98" s="318"/>
      <c r="G98" s="319">
        <f t="shared" si="4"/>
        <v>3905</v>
      </c>
      <c r="H98" s="319">
        <f t="shared" si="4"/>
        <v>4500</v>
      </c>
    </row>
    <row r="99" spans="1:8" ht="11.1" customHeight="1">
      <c r="A99" s="371" t="s">
        <v>1888</v>
      </c>
      <c r="B99" s="370" t="s">
        <v>1887</v>
      </c>
      <c r="C99" s="318">
        <v>348</v>
      </c>
      <c r="D99" s="318">
        <v>400</v>
      </c>
      <c r="E99" s="318"/>
      <c r="F99" s="318"/>
      <c r="G99" s="319">
        <f t="shared" si="4"/>
        <v>348</v>
      </c>
      <c r="H99" s="319">
        <f t="shared" si="4"/>
        <v>400</v>
      </c>
    </row>
    <row r="100" spans="1:8" ht="11.1" customHeight="1">
      <c r="A100" s="331"/>
      <c r="B100" s="317"/>
      <c r="C100" s="318"/>
      <c r="D100" s="318"/>
      <c r="E100" s="318"/>
      <c r="F100" s="318"/>
      <c r="G100" s="319"/>
      <c r="H100" s="318"/>
    </row>
    <row r="101" spans="1:8" ht="11.1" customHeight="1">
      <c r="A101" s="331"/>
      <c r="B101" s="317"/>
      <c r="C101" s="318"/>
      <c r="D101" s="318"/>
      <c r="E101" s="318"/>
      <c r="F101" s="318"/>
      <c r="G101" s="319"/>
      <c r="H101" s="318"/>
    </row>
    <row r="102" spans="1:8" s="315" customFormat="1" ht="11.1" customHeight="1">
      <c r="A102" s="331"/>
      <c r="B102" s="317"/>
      <c r="C102" s="318"/>
      <c r="D102" s="318"/>
      <c r="E102" s="318"/>
      <c r="F102" s="318"/>
      <c r="G102" s="319"/>
      <c r="H102" s="318"/>
    </row>
    <row r="103" spans="1:8" s="315" customFormat="1" ht="11.1" customHeight="1">
      <c r="A103" s="314" t="s">
        <v>87</v>
      </c>
      <c r="B103" s="330"/>
      <c r="C103" s="368">
        <f>SUM(C97:C102)</f>
        <v>9251</v>
      </c>
      <c r="D103" s="368">
        <f>SUM(D97:D102)</f>
        <v>11400</v>
      </c>
      <c r="E103" s="368">
        <f>SUM(E97:E102)</f>
        <v>45</v>
      </c>
      <c r="F103" s="368">
        <f>SUM(F97:F102)</f>
        <v>50</v>
      </c>
      <c r="G103" s="368">
        <f>C103+E103</f>
        <v>9296</v>
      </c>
      <c r="H103" s="368">
        <f>D103+F103</f>
        <v>11450</v>
      </c>
    </row>
    <row r="104" spans="1:8" ht="14.25">
      <c r="A104" s="378"/>
      <c r="B104" s="377" t="s">
        <v>229</v>
      </c>
      <c r="C104" s="376" t="s">
        <v>1889</v>
      </c>
      <c r="D104" s="375"/>
      <c r="E104" s="375"/>
      <c r="F104" s="375"/>
      <c r="G104" s="374"/>
      <c r="H104" s="373"/>
    </row>
    <row r="106" spans="1:8" ht="16.5" customHeight="1">
      <c r="A106" s="1864" t="s">
        <v>54</v>
      </c>
      <c r="B106" s="1864" t="s">
        <v>237</v>
      </c>
      <c r="C106" s="1874" t="s">
        <v>1784</v>
      </c>
      <c r="D106" s="1875"/>
      <c r="E106" s="1874" t="s">
        <v>1783</v>
      </c>
      <c r="F106" s="1875"/>
      <c r="G106" s="1874" t="s">
        <v>87</v>
      </c>
      <c r="H106" s="1875"/>
    </row>
    <row r="107" spans="1:8" ht="34.5" customHeight="1" thickBot="1">
      <c r="A107" s="1865"/>
      <c r="B107" s="1865"/>
      <c r="C107" s="327" t="s">
        <v>4078</v>
      </c>
      <c r="D107" s="372" t="s">
        <v>4071</v>
      </c>
      <c r="E107" s="327" t="s">
        <v>4078</v>
      </c>
      <c r="F107" s="372" t="s">
        <v>4071</v>
      </c>
      <c r="G107" s="327" t="s">
        <v>4078</v>
      </c>
      <c r="H107" s="372" t="s">
        <v>4071</v>
      </c>
    </row>
    <row r="108" spans="1:8" ht="11.1" customHeight="1" thickTop="1">
      <c r="A108" s="382" t="s">
        <v>1873</v>
      </c>
      <c r="B108" s="381" t="s">
        <v>1872</v>
      </c>
      <c r="C108" s="318">
        <v>4646</v>
      </c>
      <c r="D108" s="318">
        <v>3500</v>
      </c>
      <c r="E108" s="318">
        <v>104</v>
      </c>
      <c r="F108" s="318">
        <v>50</v>
      </c>
      <c r="G108" s="319">
        <f t="shared" ref="G108:H110" si="5">C108+E108</f>
        <v>4750</v>
      </c>
      <c r="H108" s="319">
        <f t="shared" si="5"/>
        <v>3550</v>
      </c>
    </row>
    <row r="109" spans="1:8" ht="11.1" customHeight="1">
      <c r="A109" s="380" t="s">
        <v>1871</v>
      </c>
      <c r="B109" s="379" t="s">
        <v>1870</v>
      </c>
      <c r="C109" s="318">
        <v>2083</v>
      </c>
      <c r="D109" s="318">
        <v>1500</v>
      </c>
      <c r="E109" s="318"/>
      <c r="F109" s="318"/>
      <c r="G109" s="319">
        <f t="shared" si="5"/>
        <v>2083</v>
      </c>
      <c r="H109" s="319">
        <f t="shared" si="5"/>
        <v>1500</v>
      </c>
    </row>
    <row r="110" spans="1:8" ht="11.1" customHeight="1">
      <c r="A110" s="371" t="s">
        <v>1888</v>
      </c>
      <c r="B110" s="370" t="s">
        <v>1887</v>
      </c>
      <c r="C110" s="318">
        <v>345</v>
      </c>
      <c r="D110" s="318">
        <v>400</v>
      </c>
      <c r="E110" s="318"/>
      <c r="F110" s="318"/>
      <c r="G110" s="319">
        <f t="shared" si="5"/>
        <v>345</v>
      </c>
      <c r="H110" s="319">
        <f t="shared" si="5"/>
        <v>400</v>
      </c>
    </row>
    <row r="111" spans="1:8" ht="11.1" customHeight="1">
      <c r="A111" s="331"/>
      <c r="B111" s="317"/>
      <c r="C111" s="318"/>
      <c r="D111" s="318"/>
      <c r="E111" s="318"/>
      <c r="F111" s="318"/>
      <c r="G111" s="319"/>
      <c r="H111" s="318"/>
    </row>
    <row r="112" spans="1:8" ht="11.1" customHeight="1">
      <c r="A112" s="331"/>
      <c r="B112" s="317"/>
      <c r="C112" s="318"/>
      <c r="D112" s="318"/>
      <c r="E112" s="318"/>
      <c r="F112" s="318"/>
      <c r="G112" s="319"/>
      <c r="H112" s="318"/>
    </row>
    <row r="113" spans="1:8" s="315" customFormat="1" ht="11.1" customHeight="1">
      <c r="A113" s="331"/>
      <c r="B113" s="317"/>
      <c r="C113" s="318"/>
      <c r="D113" s="318"/>
      <c r="E113" s="318"/>
      <c r="F113" s="318"/>
      <c r="G113" s="319"/>
      <c r="H113" s="318"/>
    </row>
    <row r="114" spans="1:8" s="315" customFormat="1" ht="11.1" customHeight="1">
      <c r="A114" s="314" t="s">
        <v>87</v>
      </c>
      <c r="B114" s="330"/>
      <c r="C114" s="368">
        <f>SUM(C108:C113)</f>
        <v>7074</v>
      </c>
      <c r="D114" s="368">
        <f>SUM(D108:D113)</f>
        <v>5400</v>
      </c>
      <c r="E114" s="368">
        <f>SUM(E108:E113)</f>
        <v>104</v>
      </c>
      <c r="F114" s="368">
        <f>SUM(F108:F113)</f>
        <v>50</v>
      </c>
      <c r="G114" s="368">
        <f>C114+E114</f>
        <v>7178</v>
      </c>
      <c r="H114" s="368">
        <f>D114+F114</f>
        <v>5450</v>
      </c>
    </row>
    <row r="115" spans="1:8" ht="14.25">
      <c r="A115" s="378"/>
      <c r="B115" s="377" t="s">
        <v>229</v>
      </c>
      <c r="C115" s="376" t="s">
        <v>1886</v>
      </c>
      <c r="D115" s="375"/>
      <c r="E115" s="375"/>
      <c r="F115" s="375"/>
      <c r="G115" s="374"/>
      <c r="H115" s="373"/>
    </row>
    <row r="117" spans="1:8" ht="17.25" customHeight="1">
      <c r="A117" s="1864" t="s">
        <v>54</v>
      </c>
      <c r="B117" s="1864" t="s">
        <v>237</v>
      </c>
      <c r="C117" s="1874" t="s">
        <v>1784</v>
      </c>
      <c r="D117" s="1875"/>
      <c r="E117" s="1874" t="s">
        <v>1783</v>
      </c>
      <c r="F117" s="1875"/>
      <c r="G117" s="1874" t="s">
        <v>87</v>
      </c>
      <c r="H117" s="1875"/>
    </row>
    <row r="118" spans="1:8" ht="37.5" customHeight="1" thickBot="1">
      <c r="A118" s="1865"/>
      <c r="B118" s="1865"/>
      <c r="C118" s="327" t="s">
        <v>4078</v>
      </c>
      <c r="D118" s="372" t="s">
        <v>4071</v>
      </c>
      <c r="E118" s="327" t="s">
        <v>4078</v>
      </c>
      <c r="F118" s="372" t="s">
        <v>4071</v>
      </c>
      <c r="G118" s="327" t="s">
        <v>4078</v>
      </c>
      <c r="H118" s="372" t="s">
        <v>4071</v>
      </c>
    </row>
    <row r="119" spans="1:8" ht="24.75" customHeight="1" thickTop="1">
      <c r="A119" s="382" t="s">
        <v>1873</v>
      </c>
      <c r="B119" s="381" t="s">
        <v>1872</v>
      </c>
      <c r="C119" s="318">
        <v>3330</v>
      </c>
      <c r="D119" s="318">
        <v>3500</v>
      </c>
      <c r="E119" s="318">
        <v>36</v>
      </c>
      <c r="F119" s="318">
        <v>50</v>
      </c>
      <c r="G119" s="319">
        <f>C119+E119</f>
        <v>3366</v>
      </c>
      <c r="H119" s="319">
        <f>D119+F119</f>
        <v>3550</v>
      </c>
    </row>
    <row r="120" spans="1:8" ht="25.5" customHeight="1">
      <c r="A120" s="380" t="s">
        <v>1871</v>
      </c>
      <c r="B120" s="379" t="s">
        <v>1870</v>
      </c>
      <c r="C120" s="318">
        <v>1973</v>
      </c>
      <c r="D120" s="318">
        <v>2500</v>
      </c>
      <c r="E120" s="318"/>
      <c r="F120" s="318"/>
      <c r="G120" s="319">
        <f>C120+E120</f>
        <v>1973</v>
      </c>
      <c r="H120" s="319">
        <f>D120+F120</f>
        <v>2500</v>
      </c>
    </row>
    <row r="121" spans="1:8" ht="11.1" customHeight="1">
      <c r="A121" s="331"/>
      <c r="B121" s="317"/>
      <c r="C121" s="318"/>
      <c r="D121" s="318"/>
      <c r="E121" s="318"/>
      <c r="F121" s="318"/>
      <c r="G121" s="319"/>
      <c r="H121" s="318"/>
    </row>
    <row r="122" spans="1:8" ht="11.1" customHeight="1">
      <c r="A122" s="331"/>
      <c r="B122" s="317"/>
      <c r="C122" s="318"/>
      <c r="D122" s="318"/>
      <c r="E122" s="318"/>
      <c r="F122" s="318"/>
      <c r="G122" s="319"/>
      <c r="H122" s="318"/>
    </row>
    <row r="123" spans="1:8" ht="11.1" customHeight="1">
      <c r="A123" s="331"/>
      <c r="B123" s="317"/>
      <c r="C123" s="318"/>
      <c r="D123" s="318"/>
      <c r="E123" s="318"/>
      <c r="F123" s="318"/>
      <c r="G123" s="319"/>
      <c r="H123" s="318"/>
    </row>
    <row r="124" spans="1:8" s="315" customFormat="1" ht="11.1" customHeight="1">
      <c r="A124" s="331"/>
      <c r="B124" s="317"/>
      <c r="C124" s="318"/>
      <c r="D124" s="318"/>
      <c r="E124" s="318"/>
      <c r="F124" s="318"/>
      <c r="G124" s="319"/>
      <c r="H124" s="318"/>
    </row>
    <row r="125" spans="1:8" s="315" customFormat="1" ht="11.1" customHeight="1">
      <c r="A125" s="364" t="s">
        <v>87</v>
      </c>
      <c r="B125" s="330"/>
      <c r="C125" s="368">
        <f>SUM(C119:C124)</f>
        <v>5303</v>
      </c>
      <c r="D125" s="368">
        <f>SUM(D119:D124)</f>
        <v>6000</v>
      </c>
      <c r="E125" s="368">
        <f>SUM(E119:E124)</f>
        <v>36</v>
      </c>
      <c r="F125" s="368">
        <f>SUM(F119:F124)</f>
        <v>50</v>
      </c>
      <c r="G125" s="368">
        <f>C125+E125</f>
        <v>5339</v>
      </c>
      <c r="H125" s="368">
        <f>D125+F125</f>
        <v>6050</v>
      </c>
    </row>
    <row r="126" spans="1:8" ht="14.25">
      <c r="A126" s="378"/>
      <c r="B126" s="377" t="s">
        <v>229</v>
      </c>
      <c r="C126" s="376" t="s">
        <v>1879</v>
      </c>
      <c r="D126" s="375"/>
      <c r="E126" s="375"/>
      <c r="F126" s="375"/>
      <c r="G126" s="374"/>
      <c r="H126" s="373"/>
    </row>
    <row r="128" spans="1:8" ht="17.25" customHeight="1">
      <c r="A128" s="1864" t="s">
        <v>54</v>
      </c>
      <c r="B128" s="1864" t="s">
        <v>237</v>
      </c>
      <c r="C128" s="1874" t="s">
        <v>1784</v>
      </c>
      <c r="D128" s="1875"/>
      <c r="E128" s="1874" t="s">
        <v>1783</v>
      </c>
      <c r="F128" s="1875"/>
      <c r="G128" s="1874" t="s">
        <v>87</v>
      </c>
      <c r="H128" s="1875"/>
    </row>
    <row r="129" spans="1:8" ht="32.25" customHeight="1" thickBot="1">
      <c r="A129" s="1865"/>
      <c r="B129" s="1865"/>
      <c r="C129" s="327" t="s">
        <v>4078</v>
      </c>
      <c r="D129" s="372" t="s">
        <v>4071</v>
      </c>
      <c r="E129" s="327" t="s">
        <v>4078</v>
      </c>
      <c r="F129" s="372" t="s">
        <v>4071</v>
      </c>
      <c r="G129" s="327" t="s">
        <v>4078</v>
      </c>
      <c r="H129" s="372" t="s">
        <v>4071</v>
      </c>
    </row>
    <row r="130" spans="1:8" ht="11.1" customHeight="1" thickTop="1">
      <c r="A130" s="382" t="s">
        <v>1873</v>
      </c>
      <c r="B130" s="381" t="s">
        <v>1872</v>
      </c>
      <c r="C130" s="318">
        <v>1612</v>
      </c>
      <c r="D130" s="318">
        <v>10</v>
      </c>
      <c r="E130" s="318">
        <v>400</v>
      </c>
      <c r="F130" s="318">
        <v>5</v>
      </c>
      <c r="G130" s="319">
        <f>C130+E130</f>
        <v>2012</v>
      </c>
      <c r="H130" s="319">
        <f>D130+F130</f>
        <v>15</v>
      </c>
    </row>
    <row r="131" spans="1:8" ht="11.1" customHeight="1">
      <c r="A131" s="380" t="s">
        <v>1871</v>
      </c>
      <c r="B131" s="379" t="s">
        <v>1870</v>
      </c>
      <c r="C131" s="318">
        <v>662</v>
      </c>
      <c r="D131" s="318">
        <v>5</v>
      </c>
      <c r="E131" s="318">
        <v>50</v>
      </c>
      <c r="F131" s="318">
        <v>5</v>
      </c>
      <c r="G131" s="319">
        <f>C131+E131</f>
        <v>712</v>
      </c>
      <c r="H131" s="319">
        <f>D131+F131</f>
        <v>10</v>
      </c>
    </row>
    <row r="132" spans="1:8" ht="11.1" customHeight="1">
      <c r="A132" s="331"/>
      <c r="B132" s="317"/>
      <c r="C132" s="318"/>
      <c r="D132" s="318"/>
      <c r="E132" s="318"/>
      <c r="F132" s="318"/>
      <c r="G132" s="319"/>
      <c r="H132" s="318"/>
    </row>
    <row r="133" spans="1:8" ht="11.1" customHeight="1">
      <c r="A133" s="331"/>
      <c r="B133" s="317"/>
      <c r="C133" s="318"/>
      <c r="D133" s="318"/>
      <c r="E133" s="318"/>
      <c r="F133" s="318"/>
      <c r="G133" s="319"/>
      <c r="H133" s="318"/>
    </row>
    <row r="134" spans="1:8" ht="11.1" customHeight="1">
      <c r="A134" s="331"/>
      <c r="B134" s="317"/>
      <c r="C134" s="318"/>
      <c r="D134" s="318"/>
      <c r="E134" s="318"/>
      <c r="F134" s="318"/>
      <c r="G134" s="319"/>
      <c r="H134" s="318"/>
    </row>
    <row r="135" spans="1:8" s="315" customFormat="1" ht="11.1" customHeight="1">
      <c r="A135" s="331"/>
      <c r="B135" s="317"/>
      <c r="C135" s="318"/>
      <c r="D135" s="318"/>
      <c r="E135" s="318"/>
      <c r="F135" s="318"/>
      <c r="G135" s="319"/>
      <c r="H135" s="318"/>
    </row>
    <row r="136" spans="1:8" s="315" customFormat="1" ht="11.1" customHeight="1">
      <c r="A136" s="364" t="s">
        <v>87</v>
      </c>
      <c r="B136" s="330"/>
      <c r="C136" s="368">
        <f>SUM(C130:C135)</f>
        <v>2274</v>
      </c>
      <c r="D136" s="368">
        <v>15</v>
      </c>
      <c r="E136" s="368">
        <f>SUM(E130:E135)</f>
        <v>450</v>
      </c>
      <c r="F136" s="368">
        <f>SUM(F130:F135)</f>
        <v>10</v>
      </c>
      <c r="G136" s="368">
        <f>C136+E136</f>
        <v>2724</v>
      </c>
      <c r="H136" s="368">
        <f>D136+F136</f>
        <v>25</v>
      </c>
    </row>
    <row r="137" spans="1:8" ht="14.25">
      <c r="A137" s="378"/>
      <c r="B137" s="377" t="s">
        <v>229</v>
      </c>
      <c r="C137" s="376" t="s">
        <v>1878</v>
      </c>
      <c r="D137" s="375"/>
      <c r="E137" s="375"/>
      <c r="F137" s="375"/>
      <c r="G137" s="374"/>
      <c r="H137" s="373"/>
    </row>
    <row r="139" spans="1:8" ht="18" customHeight="1">
      <c r="A139" s="1864" t="s">
        <v>54</v>
      </c>
      <c r="B139" s="1864" t="s">
        <v>237</v>
      </c>
      <c r="C139" s="1874" t="s">
        <v>1784</v>
      </c>
      <c r="D139" s="1875"/>
      <c r="E139" s="1874" t="s">
        <v>1783</v>
      </c>
      <c r="F139" s="1875"/>
      <c r="G139" s="1874" t="s">
        <v>87</v>
      </c>
      <c r="H139" s="1875"/>
    </row>
    <row r="140" spans="1:8" ht="36.75" customHeight="1" thickBot="1">
      <c r="A140" s="1865"/>
      <c r="B140" s="1865"/>
      <c r="C140" s="327" t="s">
        <v>4078</v>
      </c>
      <c r="D140" s="372" t="s">
        <v>4071</v>
      </c>
      <c r="E140" s="327" t="s">
        <v>4209</v>
      </c>
      <c r="F140" s="372" t="s">
        <v>4071</v>
      </c>
      <c r="G140" s="327" t="s">
        <v>4078</v>
      </c>
      <c r="H140" s="372" t="s">
        <v>4071</v>
      </c>
    </row>
    <row r="141" spans="1:8" ht="30" customHeight="1" thickTop="1">
      <c r="A141" s="371" t="s">
        <v>1877</v>
      </c>
      <c r="B141" s="370" t="s">
        <v>1876</v>
      </c>
      <c r="C141" s="318">
        <v>1874</v>
      </c>
      <c r="D141" s="318">
        <v>1800</v>
      </c>
      <c r="E141" s="318">
        <v>399</v>
      </c>
      <c r="F141" s="318">
        <v>300</v>
      </c>
      <c r="G141" s="319">
        <f>C141+E141</f>
        <v>2273</v>
      </c>
      <c r="H141" s="319">
        <f>D141+F141</f>
        <v>2100</v>
      </c>
    </row>
    <row r="142" spans="1:8" ht="40.5" customHeight="1">
      <c r="A142" s="1242" t="s">
        <v>1875</v>
      </c>
      <c r="B142" s="370" t="s">
        <v>1874</v>
      </c>
      <c r="C142" s="949">
        <v>662</v>
      </c>
      <c r="D142" s="949">
        <v>800</v>
      </c>
      <c r="E142" s="949">
        <v>200</v>
      </c>
      <c r="F142" s="949">
        <v>150</v>
      </c>
      <c r="G142" s="319">
        <f>C142+E142</f>
        <v>862</v>
      </c>
      <c r="H142" s="319">
        <v>810</v>
      </c>
    </row>
    <row r="143" spans="1:8" ht="15.75" customHeight="1">
      <c r="A143" s="364" t="s">
        <v>87</v>
      </c>
      <c r="B143" s="385"/>
      <c r="C143" s="1282">
        <v>2345</v>
      </c>
      <c r="D143" s="1282">
        <v>2600</v>
      </c>
      <c r="E143" s="1282">
        <v>80</v>
      </c>
      <c r="F143" s="1282">
        <v>450</v>
      </c>
      <c r="G143" s="1110">
        <v>2425</v>
      </c>
      <c r="H143" s="1110">
        <v>2720</v>
      </c>
    </row>
    <row r="144" spans="1:8" ht="14.25">
      <c r="A144" s="378"/>
      <c r="B144" s="1238" t="s">
        <v>229</v>
      </c>
      <c r="C144" s="1239" t="s">
        <v>1885</v>
      </c>
      <c r="D144" s="1240"/>
      <c r="E144" s="1240"/>
      <c r="F144" s="1240"/>
      <c r="G144" s="1241"/>
      <c r="H144" s="373"/>
    </row>
    <row r="145" spans="1:8" ht="18" customHeight="1">
      <c r="A145" s="1864" t="s">
        <v>54</v>
      </c>
      <c r="B145" s="1864" t="s">
        <v>237</v>
      </c>
      <c r="C145" s="1874" t="s">
        <v>1784</v>
      </c>
      <c r="D145" s="1875"/>
      <c r="E145" s="1874" t="s">
        <v>1783</v>
      </c>
      <c r="F145" s="1875"/>
      <c r="G145" s="1874" t="s">
        <v>87</v>
      </c>
      <c r="H145" s="1875"/>
    </row>
    <row r="146" spans="1:8" ht="39.75" customHeight="1" thickBot="1">
      <c r="A146" s="1865"/>
      <c r="B146" s="1865"/>
      <c r="C146" s="327" t="s">
        <v>4078</v>
      </c>
      <c r="D146" s="372" t="s">
        <v>4071</v>
      </c>
      <c r="E146" s="327" t="s">
        <v>4078</v>
      </c>
      <c r="F146" s="372" t="s">
        <v>4071</v>
      </c>
      <c r="G146" s="327" t="s">
        <v>4078</v>
      </c>
      <c r="H146" s="372" t="s">
        <v>4071</v>
      </c>
    </row>
    <row r="147" spans="1:8" ht="26.25" customHeight="1" thickTop="1">
      <c r="A147" s="384">
        <v>600001</v>
      </c>
      <c r="B147" s="370" t="s">
        <v>1884</v>
      </c>
      <c r="C147" s="383">
        <v>4845</v>
      </c>
      <c r="D147" s="383">
        <v>5000</v>
      </c>
      <c r="E147" s="383">
        <v>169</v>
      </c>
      <c r="F147" s="383">
        <v>300</v>
      </c>
      <c r="G147" s="319">
        <f t="shared" ref="G147:H150" si="6">C147+E147</f>
        <v>5014</v>
      </c>
      <c r="H147" s="319">
        <f t="shared" si="6"/>
        <v>5300</v>
      </c>
    </row>
    <row r="148" spans="1:8" ht="37.5" customHeight="1">
      <c r="A148" s="384">
        <v>600002</v>
      </c>
      <c r="B148" s="370" t="s">
        <v>1883</v>
      </c>
      <c r="C148" s="383">
        <v>1873</v>
      </c>
      <c r="D148" s="383">
        <v>3000</v>
      </c>
      <c r="E148" s="383">
        <v>0</v>
      </c>
      <c r="F148" s="383">
        <v>0</v>
      </c>
      <c r="G148" s="319">
        <f t="shared" si="6"/>
        <v>1873</v>
      </c>
      <c r="H148" s="319">
        <f t="shared" si="6"/>
        <v>3000</v>
      </c>
    </row>
    <row r="149" spans="1:8" ht="22.5" customHeight="1">
      <c r="A149" s="384" t="s">
        <v>1882</v>
      </c>
      <c r="B149" s="370" t="s">
        <v>1881</v>
      </c>
      <c r="C149" s="383">
        <v>347</v>
      </c>
      <c r="D149" s="383">
        <v>370</v>
      </c>
      <c r="E149" s="383">
        <v>0</v>
      </c>
      <c r="F149" s="383">
        <v>0</v>
      </c>
      <c r="G149" s="319">
        <f t="shared" si="6"/>
        <v>347</v>
      </c>
      <c r="H149" s="319">
        <f t="shared" si="6"/>
        <v>370</v>
      </c>
    </row>
    <row r="150" spans="1:8" ht="17.25" customHeight="1">
      <c r="A150" s="950">
        <v>9200101</v>
      </c>
      <c r="B150" s="951" t="s">
        <v>1880</v>
      </c>
      <c r="C150" s="952">
        <v>79</v>
      </c>
      <c r="D150" s="952">
        <v>70</v>
      </c>
      <c r="E150" s="952">
        <v>0</v>
      </c>
      <c r="F150" s="952">
        <v>0</v>
      </c>
      <c r="G150" s="953">
        <f t="shared" si="6"/>
        <v>79</v>
      </c>
      <c r="H150" s="952">
        <f t="shared" si="6"/>
        <v>70</v>
      </c>
    </row>
    <row r="151" spans="1:8" s="315" customFormat="1" ht="11.1" customHeight="1">
      <c r="A151" s="331"/>
      <c r="B151" s="317"/>
      <c r="C151" s="318"/>
      <c r="D151" s="318"/>
      <c r="E151" s="318"/>
      <c r="F151" s="318"/>
      <c r="G151" s="319"/>
      <c r="H151" s="318"/>
    </row>
    <row r="152" spans="1:8" s="315" customFormat="1" ht="11.1" customHeight="1">
      <c r="A152" s="314" t="s">
        <v>87</v>
      </c>
      <c r="B152" s="330"/>
      <c r="C152" s="368">
        <f>SUM(C147:C151)</f>
        <v>7144</v>
      </c>
      <c r="D152" s="368">
        <f>SUM(D147:D151)</f>
        <v>8440</v>
      </c>
      <c r="E152" s="368">
        <f>SUM(E147:E151)</f>
        <v>169</v>
      </c>
      <c r="F152" s="368">
        <f>SUM(F147:F151)</f>
        <v>300</v>
      </c>
      <c r="G152" s="368">
        <f>C152+E152</f>
        <v>7313</v>
      </c>
      <c r="H152" s="368">
        <f>D152+F152</f>
        <v>8740</v>
      </c>
    </row>
    <row r="153" spans="1:8" ht="11.1" customHeight="1">
      <c r="A153" s="331"/>
      <c r="B153" s="317"/>
      <c r="C153" s="318"/>
      <c r="D153" s="318"/>
      <c r="E153" s="318"/>
      <c r="F153" s="318"/>
      <c r="G153" s="319"/>
      <c r="H153" s="318"/>
    </row>
    <row r="154" spans="1:8" ht="11.1" customHeight="1">
      <c r="A154" s="331"/>
      <c r="B154" s="317"/>
      <c r="C154" s="318"/>
      <c r="D154" s="318"/>
      <c r="E154" s="318"/>
      <c r="F154" s="318"/>
      <c r="G154" s="319"/>
      <c r="H154" s="318"/>
    </row>
    <row r="155" spans="1:8" ht="11.1" customHeight="1">
      <c r="A155" s="331"/>
      <c r="B155" s="317"/>
      <c r="C155" s="318"/>
      <c r="D155" s="318"/>
      <c r="E155" s="318"/>
      <c r="F155" s="318"/>
      <c r="G155" s="319"/>
      <c r="H155" s="318"/>
    </row>
    <row r="156" spans="1:8" s="315" customFormat="1" ht="11.1" customHeight="1">
      <c r="A156" s="331"/>
      <c r="B156" s="317"/>
      <c r="C156" s="318"/>
      <c r="D156" s="318"/>
      <c r="E156" s="318"/>
      <c r="F156" s="318"/>
      <c r="G156" s="319"/>
      <c r="H156" s="318"/>
    </row>
    <row r="157" spans="1:8" s="315" customFormat="1" ht="11.1" customHeight="1">
      <c r="A157" s="314" t="s">
        <v>87</v>
      </c>
      <c r="B157" s="330"/>
      <c r="C157" s="368">
        <f t="shared" ref="C157:H157" si="7">SUM(C141:C156)</f>
        <v>19169</v>
      </c>
      <c r="D157" s="368">
        <f t="shared" si="7"/>
        <v>22080</v>
      </c>
      <c r="E157" s="368">
        <f t="shared" si="7"/>
        <v>1017</v>
      </c>
      <c r="F157" s="368">
        <f t="shared" si="7"/>
        <v>1500</v>
      </c>
      <c r="G157" s="368">
        <f t="shared" si="7"/>
        <v>20186</v>
      </c>
      <c r="H157" s="368">
        <f t="shared" si="7"/>
        <v>23110</v>
      </c>
    </row>
    <row r="158" spans="1:8">
      <c r="A158" s="367" t="s">
        <v>234</v>
      </c>
      <c r="B158" s="330"/>
      <c r="C158" s="366">
        <f>C15+C26+C37+C48+C59+C70+C81+C92+C103+C114+C125+C152+C136+C157</f>
        <v>132712</v>
      </c>
      <c r="D158" s="366">
        <f>D15+D26+D37+D48+D59+D70+D81+D92+D103+D114+D125+D152+D136+D157</f>
        <v>120915</v>
      </c>
      <c r="E158" s="366">
        <f>E15+E26+E37+E48+E59+E70+E81+E92+E103+E114+E125+E152+E136+E157</f>
        <v>4502</v>
      </c>
      <c r="F158" s="366">
        <f>F15+F26+F37+F48+F59+F70+F81+F92+F103+F114+F125+F152+F136+F157</f>
        <v>5151</v>
      </c>
      <c r="G158" s="366">
        <f>C158+E158</f>
        <v>137214</v>
      </c>
      <c r="H158" s="366">
        <f>D158+F158</f>
        <v>126066</v>
      </c>
    </row>
    <row r="159" spans="1:8" ht="11.1" customHeight="1">
      <c r="A159" s="331"/>
      <c r="B159" s="317"/>
      <c r="C159" s="318"/>
      <c r="D159" s="318"/>
      <c r="E159" s="318"/>
      <c r="F159" s="318"/>
      <c r="G159" s="319"/>
      <c r="H159" s="318"/>
    </row>
    <row r="160" spans="1:8" ht="11.1" customHeight="1">
      <c r="A160" s="331"/>
      <c r="B160" s="317"/>
      <c r="C160" s="318"/>
      <c r="D160" s="318"/>
      <c r="E160" s="318"/>
      <c r="F160" s="318"/>
      <c r="G160" s="319"/>
      <c r="H160" s="318"/>
    </row>
    <row r="161" spans="1:8" s="315" customFormat="1" ht="12.75" customHeight="1">
      <c r="A161" s="314" t="s">
        <v>233</v>
      </c>
      <c r="B161" s="320"/>
      <c r="C161" s="320"/>
      <c r="D161" s="320"/>
      <c r="E161" s="320"/>
      <c r="F161" s="320"/>
      <c r="G161" s="320"/>
      <c r="H161" s="328"/>
    </row>
    <row r="162" spans="1:8" s="315" customFormat="1" ht="24" customHeight="1">
      <c r="A162" s="365" t="s">
        <v>1873</v>
      </c>
      <c r="B162" s="317" t="s">
        <v>1872</v>
      </c>
      <c r="C162" s="319"/>
      <c r="D162" s="319"/>
      <c r="E162" s="318"/>
      <c r="F162" s="318"/>
      <c r="G162" s="319"/>
      <c r="H162" s="318"/>
    </row>
    <row r="163" spans="1:8" s="315" customFormat="1" ht="25.5">
      <c r="A163" s="365" t="s">
        <v>1871</v>
      </c>
      <c r="B163" s="317" t="s">
        <v>1870</v>
      </c>
      <c r="C163" s="319"/>
      <c r="D163" s="319"/>
      <c r="E163" s="318"/>
      <c r="F163" s="318"/>
      <c r="G163" s="319"/>
      <c r="H163" s="318"/>
    </row>
    <row r="164" spans="1:8" s="315" customFormat="1" ht="27" customHeight="1">
      <c r="A164" s="331"/>
      <c r="B164" s="317"/>
      <c r="C164" s="319"/>
      <c r="D164" s="319"/>
      <c r="E164" s="318"/>
      <c r="F164" s="318"/>
      <c r="G164" s="319"/>
      <c r="H164" s="318"/>
    </row>
    <row r="165" spans="1:8" s="315" customFormat="1" ht="11.1" customHeight="1">
      <c r="A165" s="314" t="s">
        <v>87</v>
      </c>
      <c r="B165" s="330"/>
      <c r="C165" s="318"/>
      <c r="D165" s="318"/>
      <c r="E165" s="318"/>
      <c r="F165" s="318"/>
      <c r="G165" s="319"/>
      <c r="H165" s="318"/>
    </row>
    <row r="166" spans="1:8">
      <c r="A166" s="364" t="s">
        <v>234</v>
      </c>
      <c r="B166" s="330"/>
      <c r="C166" s="318"/>
      <c r="D166" s="318"/>
      <c r="E166" s="318"/>
      <c r="F166" s="318"/>
      <c r="G166" s="319"/>
      <c r="H166" s="318"/>
    </row>
    <row r="167" spans="1:8" s="316" customFormat="1" ht="24.75" customHeight="1">
      <c r="A167" s="1873"/>
      <c r="B167" s="1873"/>
      <c r="C167" s="1873"/>
      <c r="D167" s="1873"/>
      <c r="E167" s="1873"/>
      <c r="F167" s="1873"/>
      <c r="G167" s="1873"/>
      <c r="H167" s="1873"/>
    </row>
    <row r="169" spans="1:8" ht="11.1" customHeight="1"/>
    <row r="170" spans="1:8" ht="11.1" customHeight="1"/>
    <row r="171" spans="1:8" ht="11.1" customHeight="1"/>
    <row r="172" spans="1:8" ht="11.1" customHeight="1"/>
    <row r="173" spans="1:8" ht="11.1" customHeight="1"/>
    <row r="174" spans="1:8" ht="11.1" customHeight="1"/>
    <row r="175" spans="1:8" ht="11.1" customHeight="1"/>
    <row r="176" spans="1:8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</sheetData>
  <mergeCells count="71">
    <mergeCell ref="B18:B19"/>
    <mergeCell ref="C62:D62"/>
    <mergeCell ref="E18:F18"/>
    <mergeCell ref="G62:H62"/>
    <mergeCell ref="A18:A19"/>
    <mergeCell ref="A40:A41"/>
    <mergeCell ref="C18:D18"/>
    <mergeCell ref="C40:D40"/>
    <mergeCell ref="G18:H18"/>
    <mergeCell ref="G40:H40"/>
    <mergeCell ref="A29:A30"/>
    <mergeCell ref="B29:B30"/>
    <mergeCell ref="C29:D29"/>
    <mergeCell ref="E29:F29"/>
    <mergeCell ref="G29:H29"/>
    <mergeCell ref="B40:B41"/>
    <mergeCell ref="A7:A8"/>
    <mergeCell ref="B7:B8"/>
    <mergeCell ref="C7:D7"/>
    <mergeCell ref="E7:F7"/>
    <mergeCell ref="G7:H7"/>
    <mergeCell ref="B95:B96"/>
    <mergeCell ref="C95:D95"/>
    <mergeCell ref="E40:F40"/>
    <mergeCell ref="G84:H84"/>
    <mergeCell ref="A51:A52"/>
    <mergeCell ref="B51:B52"/>
    <mergeCell ref="C51:D51"/>
    <mergeCell ref="E51:F51"/>
    <mergeCell ref="A62:A63"/>
    <mergeCell ref="G51:H51"/>
    <mergeCell ref="B62:B63"/>
    <mergeCell ref="E62:F62"/>
    <mergeCell ref="E95:F95"/>
    <mergeCell ref="G95:H95"/>
    <mergeCell ref="E106:F106"/>
    <mergeCell ref="A117:A118"/>
    <mergeCell ref="G106:H106"/>
    <mergeCell ref="A73:A74"/>
    <mergeCell ref="B73:B74"/>
    <mergeCell ref="C73:D73"/>
    <mergeCell ref="E73:F73"/>
    <mergeCell ref="G73:H73"/>
    <mergeCell ref="A84:A85"/>
    <mergeCell ref="B84:B85"/>
    <mergeCell ref="C84:D84"/>
    <mergeCell ref="E84:F84"/>
    <mergeCell ref="A106:A107"/>
    <mergeCell ref="B106:B107"/>
    <mergeCell ref="C106:D106"/>
    <mergeCell ref="A95:A96"/>
    <mergeCell ref="B117:B118"/>
    <mergeCell ref="C117:D117"/>
    <mergeCell ref="E117:F117"/>
    <mergeCell ref="G145:H145"/>
    <mergeCell ref="G117:H117"/>
    <mergeCell ref="B145:B146"/>
    <mergeCell ref="E145:F145"/>
    <mergeCell ref="C145:D145"/>
    <mergeCell ref="A145:A146"/>
    <mergeCell ref="A167:H167"/>
    <mergeCell ref="A128:A129"/>
    <mergeCell ref="B128:B129"/>
    <mergeCell ref="C128:D128"/>
    <mergeCell ref="E128:F128"/>
    <mergeCell ref="G128:H128"/>
    <mergeCell ref="B139:B140"/>
    <mergeCell ref="E139:F139"/>
    <mergeCell ref="G139:H139"/>
    <mergeCell ref="A139:A140"/>
    <mergeCell ref="C139:D139"/>
  </mergeCells>
  <pageMargins left="0.75" right="0.75" top="1" bottom="1" header="0.5" footer="0.5"/>
  <pageSetup paperSize="9" scale="80" orientation="portrait" verticalDpi="1200" r:id="rId1"/>
  <headerFooter alignWithMargins="0"/>
  <rowBreaks count="2" manualBreakCount="2">
    <brk id="59" max="16383" man="1"/>
    <brk id="10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fitToPage="1"/>
  </sheetPr>
  <dimension ref="A1:G734"/>
  <sheetViews>
    <sheetView view="pageBreakPreview" zoomScaleSheetLayoutView="100" workbookViewId="0">
      <selection activeCell="F9" sqref="F9"/>
    </sheetView>
  </sheetViews>
  <sheetFormatPr defaultRowHeight="12.75"/>
  <cols>
    <col min="1" max="1" width="7.7109375" customWidth="1"/>
    <col min="2" max="2" width="81.140625" customWidth="1"/>
    <col min="3" max="3" width="11.42578125" customWidth="1"/>
    <col min="4" max="4" width="10.5703125" customWidth="1"/>
    <col min="5" max="5" width="6.7109375" customWidth="1"/>
    <col min="6" max="6" width="7.7109375" customWidth="1"/>
    <col min="7" max="7" width="9.140625" customWidth="1"/>
  </cols>
  <sheetData>
    <row r="1" spans="1:7">
      <c r="A1" s="247"/>
      <c r="B1" s="248" t="s">
        <v>187</v>
      </c>
      <c r="C1" s="233" t="s">
        <v>3691</v>
      </c>
      <c r="D1" s="249"/>
      <c r="E1" s="249"/>
      <c r="F1" s="250"/>
      <c r="G1" s="87"/>
    </row>
    <row r="2" spans="1:7">
      <c r="A2" s="247"/>
      <c r="B2" s="248" t="s">
        <v>188</v>
      </c>
      <c r="C2" s="233">
        <v>17862944</v>
      </c>
      <c r="D2" s="249"/>
      <c r="E2" s="249"/>
      <c r="F2" s="250"/>
      <c r="G2" s="87"/>
    </row>
    <row r="3" spans="1:7">
      <c r="A3" s="247"/>
      <c r="B3" s="248" t="s">
        <v>189</v>
      </c>
      <c r="C3" s="1114">
        <v>44927</v>
      </c>
      <c r="D3" s="249"/>
      <c r="E3" s="249"/>
      <c r="F3" s="250"/>
      <c r="G3" s="87"/>
    </row>
    <row r="4" spans="1:7" ht="14.25">
      <c r="A4" s="247"/>
      <c r="B4" s="248" t="s">
        <v>1824</v>
      </c>
      <c r="C4" s="251" t="s">
        <v>1769</v>
      </c>
      <c r="D4" s="252"/>
      <c r="E4" s="252"/>
      <c r="F4" s="253"/>
      <c r="G4" s="87"/>
    </row>
    <row r="5" spans="1:7" ht="14.25">
      <c r="A5" s="247"/>
      <c r="B5" s="248" t="s">
        <v>229</v>
      </c>
      <c r="C5" s="251"/>
      <c r="D5" s="252"/>
      <c r="E5" s="252"/>
      <c r="F5" s="253"/>
      <c r="G5" s="87"/>
    </row>
    <row r="6" spans="1:7" ht="15.75">
      <c r="A6" s="142"/>
      <c r="B6" s="142"/>
      <c r="C6" s="142"/>
      <c r="D6" s="142"/>
      <c r="E6" s="142"/>
      <c r="F6" s="84"/>
      <c r="G6" s="84"/>
    </row>
    <row r="7" spans="1:7" ht="25.5">
      <c r="A7" s="244" t="s">
        <v>345</v>
      </c>
      <c r="B7" s="246" t="s">
        <v>346</v>
      </c>
      <c r="C7" s="245" t="s">
        <v>4078</v>
      </c>
      <c r="D7" s="245" t="s">
        <v>4071</v>
      </c>
      <c r="E7" s="254"/>
      <c r="F7" s="255"/>
      <c r="G7" s="47"/>
    </row>
    <row r="8" spans="1:7" ht="18.75">
      <c r="A8" s="244"/>
      <c r="B8" s="256" t="s">
        <v>347</v>
      </c>
      <c r="C8" s="257">
        <f>SUM(C9:C734)</f>
        <v>6272</v>
      </c>
      <c r="D8" s="257">
        <f>SUM(D9:D734)</f>
        <v>23110</v>
      </c>
      <c r="E8" s="984"/>
      <c r="F8" s="255"/>
      <c r="G8" s="47"/>
    </row>
    <row r="9" spans="1:7" ht="18.75">
      <c r="A9" s="258">
        <v>0</v>
      </c>
      <c r="B9" s="256" t="s">
        <v>1782</v>
      </c>
      <c r="C9" s="257">
        <v>0</v>
      </c>
      <c r="D9" s="257">
        <v>0</v>
      </c>
    </row>
    <row r="10" spans="1:7">
      <c r="A10" s="259" t="s">
        <v>348</v>
      </c>
      <c r="B10" s="260" t="s">
        <v>349</v>
      </c>
      <c r="C10" s="220">
        <v>0</v>
      </c>
      <c r="D10" s="220">
        <v>0</v>
      </c>
    </row>
    <row r="11" spans="1:7">
      <c r="A11" s="259" t="s">
        <v>350</v>
      </c>
      <c r="B11" s="260" t="s">
        <v>351</v>
      </c>
      <c r="C11" s="220">
        <v>0</v>
      </c>
      <c r="D11" s="220">
        <v>0</v>
      </c>
    </row>
    <row r="12" spans="1:7">
      <c r="A12" s="259" t="s">
        <v>352</v>
      </c>
      <c r="B12" s="260" t="s">
        <v>353</v>
      </c>
      <c r="C12" s="220">
        <v>0</v>
      </c>
      <c r="D12" s="220">
        <v>0</v>
      </c>
    </row>
    <row r="13" spans="1:7">
      <c r="A13" s="259" t="s">
        <v>354</v>
      </c>
      <c r="B13" s="260" t="s">
        <v>355</v>
      </c>
      <c r="C13" s="220">
        <v>0</v>
      </c>
      <c r="D13" s="220">
        <v>0</v>
      </c>
    </row>
    <row r="14" spans="1:7" ht="25.5">
      <c r="A14" s="259" t="s">
        <v>356</v>
      </c>
      <c r="B14" s="260" t="s">
        <v>357</v>
      </c>
      <c r="C14" s="220">
        <v>0</v>
      </c>
      <c r="D14" s="220">
        <v>0</v>
      </c>
    </row>
    <row r="15" spans="1:7">
      <c r="A15" s="259" t="s">
        <v>358</v>
      </c>
      <c r="B15" s="260" t="s">
        <v>359</v>
      </c>
      <c r="C15" s="220">
        <v>0</v>
      </c>
      <c r="D15" s="220">
        <v>0</v>
      </c>
    </row>
    <row r="16" spans="1:7">
      <c r="A16" s="259" t="s">
        <v>360</v>
      </c>
      <c r="B16" s="260" t="s">
        <v>361</v>
      </c>
      <c r="C16" s="220">
        <v>0</v>
      </c>
      <c r="D16" s="220">
        <v>0</v>
      </c>
    </row>
    <row r="17" spans="1:4">
      <c r="A17" s="259" t="s">
        <v>362</v>
      </c>
      <c r="B17" s="261" t="s">
        <v>363</v>
      </c>
      <c r="C17" s="220">
        <v>0</v>
      </c>
      <c r="D17" s="220">
        <v>0</v>
      </c>
    </row>
    <row r="18" spans="1:4">
      <c r="A18" s="259" t="s">
        <v>364</v>
      </c>
      <c r="B18" s="261" t="s">
        <v>365</v>
      </c>
      <c r="C18" s="220">
        <v>0</v>
      </c>
      <c r="D18" s="220">
        <v>0</v>
      </c>
    </row>
    <row r="19" spans="1:4">
      <c r="A19" s="259" t="s">
        <v>366</v>
      </c>
      <c r="B19" s="261" t="s">
        <v>367</v>
      </c>
      <c r="C19" s="220">
        <v>0</v>
      </c>
      <c r="D19" s="220">
        <v>0</v>
      </c>
    </row>
    <row r="20" spans="1:4">
      <c r="A20" s="259" t="s">
        <v>368</v>
      </c>
      <c r="B20" s="261" t="s">
        <v>369</v>
      </c>
      <c r="C20" s="220">
        <v>0</v>
      </c>
      <c r="D20" s="220">
        <v>0</v>
      </c>
    </row>
    <row r="21" spans="1:4">
      <c r="A21" s="259" t="s">
        <v>370</v>
      </c>
      <c r="B21" s="261" t="s">
        <v>371</v>
      </c>
      <c r="C21" s="220">
        <v>0</v>
      </c>
      <c r="D21" s="220">
        <v>0</v>
      </c>
    </row>
    <row r="22" spans="1:4">
      <c r="A22" s="259" t="s">
        <v>372</v>
      </c>
      <c r="B22" s="261" t="s">
        <v>373</v>
      </c>
      <c r="C22" s="220">
        <v>0</v>
      </c>
      <c r="D22" s="220">
        <v>0</v>
      </c>
    </row>
    <row r="23" spans="1:4">
      <c r="A23" s="259" t="s">
        <v>374</v>
      </c>
      <c r="B23" s="261" t="s">
        <v>375</v>
      </c>
      <c r="C23" s="220">
        <v>0</v>
      </c>
      <c r="D23" s="220">
        <v>0</v>
      </c>
    </row>
    <row r="24" spans="1:4">
      <c r="A24" s="259" t="s">
        <v>376</v>
      </c>
      <c r="B24" s="261" t="s">
        <v>377</v>
      </c>
      <c r="C24" s="220">
        <v>0</v>
      </c>
      <c r="D24" s="220">
        <v>0</v>
      </c>
    </row>
    <row r="25" spans="1:4">
      <c r="A25" s="259" t="s">
        <v>378</v>
      </c>
      <c r="B25" s="261" t="s">
        <v>379</v>
      </c>
      <c r="C25" s="220">
        <v>0</v>
      </c>
      <c r="D25" s="220">
        <v>0</v>
      </c>
    </row>
    <row r="26" spans="1:4">
      <c r="A26" s="259" t="s">
        <v>380</v>
      </c>
      <c r="B26" s="261" t="s">
        <v>381</v>
      </c>
      <c r="C26" s="220">
        <v>0</v>
      </c>
      <c r="D26" s="220">
        <v>0</v>
      </c>
    </row>
    <row r="27" spans="1:4" ht="18.75">
      <c r="A27" s="258">
        <v>1</v>
      </c>
      <c r="B27" s="262" t="s">
        <v>382</v>
      </c>
      <c r="C27" s="257">
        <v>0</v>
      </c>
      <c r="D27" s="257">
        <v>0</v>
      </c>
    </row>
    <row r="28" spans="1:4">
      <c r="A28" s="259" t="s">
        <v>383</v>
      </c>
      <c r="B28" s="261" t="s">
        <v>384</v>
      </c>
      <c r="C28" s="220">
        <v>1</v>
      </c>
      <c r="D28" s="220">
        <v>0</v>
      </c>
    </row>
    <row r="29" spans="1:4">
      <c r="A29" s="259" t="s">
        <v>385</v>
      </c>
      <c r="B29" s="261" t="s">
        <v>386</v>
      </c>
      <c r="C29" s="220">
        <v>0</v>
      </c>
      <c r="D29" s="220">
        <v>0</v>
      </c>
    </row>
    <row r="30" spans="1:4">
      <c r="A30" s="259" t="s">
        <v>387</v>
      </c>
      <c r="B30" s="260" t="s">
        <v>388</v>
      </c>
      <c r="C30" s="220">
        <v>0</v>
      </c>
      <c r="D30" s="220">
        <v>0</v>
      </c>
    </row>
    <row r="31" spans="1:4">
      <c r="A31" s="259" t="s">
        <v>389</v>
      </c>
      <c r="B31" s="260" t="s">
        <v>390</v>
      </c>
      <c r="C31" s="220">
        <v>0</v>
      </c>
      <c r="D31" s="220">
        <v>0</v>
      </c>
    </row>
    <row r="32" spans="1:4">
      <c r="A32" s="259" t="s">
        <v>391</v>
      </c>
      <c r="B32" s="260" t="s">
        <v>392</v>
      </c>
      <c r="C32" s="220">
        <v>0</v>
      </c>
      <c r="D32" s="220">
        <v>0</v>
      </c>
    </row>
    <row r="33" spans="1:4">
      <c r="A33" s="259" t="s">
        <v>393</v>
      </c>
      <c r="B33" s="260" t="s">
        <v>394</v>
      </c>
      <c r="C33" s="220">
        <v>0</v>
      </c>
      <c r="D33" s="220">
        <v>0</v>
      </c>
    </row>
    <row r="34" spans="1:4">
      <c r="A34" s="259" t="s">
        <v>395</v>
      </c>
      <c r="B34" s="260" t="s">
        <v>396</v>
      </c>
      <c r="C34" s="220">
        <v>0</v>
      </c>
      <c r="D34" s="220">
        <v>0</v>
      </c>
    </row>
    <row r="35" spans="1:4">
      <c r="A35" s="259" t="s">
        <v>397</v>
      </c>
      <c r="B35" s="260" t="s">
        <v>398</v>
      </c>
      <c r="C35" s="220">
        <v>0</v>
      </c>
      <c r="D35" s="220">
        <v>0</v>
      </c>
    </row>
    <row r="36" spans="1:4">
      <c r="A36" s="259" t="s">
        <v>399</v>
      </c>
      <c r="B36" s="260" t="s">
        <v>400</v>
      </c>
      <c r="C36" s="220">
        <v>0</v>
      </c>
      <c r="D36" s="220">
        <v>0</v>
      </c>
    </row>
    <row r="37" spans="1:4">
      <c r="A37" s="259" t="s">
        <v>401</v>
      </c>
      <c r="B37" s="260" t="s">
        <v>402</v>
      </c>
      <c r="C37" s="220">
        <v>0</v>
      </c>
      <c r="D37" s="220">
        <v>0</v>
      </c>
    </row>
    <row r="38" spans="1:4" ht="25.5">
      <c r="A38" s="259" t="s">
        <v>403</v>
      </c>
      <c r="B38" s="263" t="s">
        <v>404</v>
      </c>
      <c r="C38" s="220">
        <v>0</v>
      </c>
      <c r="D38" s="220">
        <v>1</v>
      </c>
    </row>
    <row r="39" spans="1:4" ht="25.5">
      <c r="A39" s="259" t="s">
        <v>405</v>
      </c>
      <c r="B39" s="263" t="s">
        <v>406</v>
      </c>
      <c r="C39" s="220">
        <v>0</v>
      </c>
      <c r="D39" s="220">
        <v>0</v>
      </c>
    </row>
    <row r="40" spans="1:4" ht="25.5">
      <c r="A40" s="259" t="s">
        <v>407</v>
      </c>
      <c r="B40" s="263" t="s">
        <v>408</v>
      </c>
      <c r="C40" s="220">
        <v>0</v>
      </c>
      <c r="D40" s="220">
        <v>0</v>
      </c>
    </row>
    <row r="41" spans="1:4" ht="25.5">
      <c r="A41" s="259" t="s">
        <v>409</v>
      </c>
      <c r="B41" s="263" t="s">
        <v>410</v>
      </c>
      <c r="C41" s="220">
        <v>0</v>
      </c>
      <c r="D41" s="220">
        <v>0</v>
      </c>
    </row>
    <row r="42" spans="1:4">
      <c r="A42" s="259" t="s">
        <v>411</v>
      </c>
      <c r="B42" s="260" t="s">
        <v>412</v>
      </c>
      <c r="C42" s="220">
        <v>0</v>
      </c>
      <c r="D42" s="220">
        <v>0</v>
      </c>
    </row>
    <row r="43" spans="1:4">
      <c r="A43" s="259" t="s">
        <v>413</v>
      </c>
      <c r="B43" s="261" t="s">
        <v>414</v>
      </c>
      <c r="C43" s="220">
        <v>0</v>
      </c>
      <c r="D43" s="220">
        <v>0</v>
      </c>
    </row>
    <row r="44" spans="1:4">
      <c r="A44" s="259" t="s">
        <v>415</v>
      </c>
      <c r="B44" s="261" t="s">
        <v>416</v>
      </c>
      <c r="C44" s="220">
        <v>0</v>
      </c>
      <c r="D44" s="220">
        <v>0</v>
      </c>
    </row>
    <row r="45" spans="1:4">
      <c r="A45" s="259" t="s">
        <v>417</v>
      </c>
      <c r="B45" s="261" t="s">
        <v>418</v>
      </c>
      <c r="C45" s="220">
        <v>0</v>
      </c>
      <c r="D45" s="220">
        <v>0</v>
      </c>
    </row>
    <row r="46" spans="1:4">
      <c r="A46" s="259" t="s">
        <v>419</v>
      </c>
      <c r="B46" s="260" t="s">
        <v>420</v>
      </c>
      <c r="C46" s="220">
        <v>0</v>
      </c>
      <c r="D46" s="220">
        <v>0</v>
      </c>
    </row>
    <row r="47" spans="1:4">
      <c r="A47" s="259" t="s">
        <v>421</v>
      </c>
      <c r="B47" s="260" t="s">
        <v>422</v>
      </c>
      <c r="C47" s="220">
        <v>0</v>
      </c>
      <c r="D47" s="220">
        <v>0</v>
      </c>
    </row>
    <row r="48" spans="1:4">
      <c r="A48" s="259" t="s">
        <v>423</v>
      </c>
      <c r="B48" s="263" t="s">
        <v>424</v>
      </c>
      <c r="C48" s="220">
        <v>0</v>
      </c>
      <c r="D48" s="220">
        <v>0</v>
      </c>
    </row>
    <row r="49" spans="1:4">
      <c r="A49" s="259" t="s">
        <v>425</v>
      </c>
      <c r="B49" s="263" t="s">
        <v>426</v>
      </c>
      <c r="C49" s="220">
        <v>0</v>
      </c>
      <c r="D49" s="220">
        <v>0</v>
      </c>
    </row>
    <row r="50" spans="1:4">
      <c r="A50" s="259" t="s">
        <v>427</v>
      </c>
      <c r="B50" s="260" t="s">
        <v>428</v>
      </c>
      <c r="C50" s="220">
        <v>0</v>
      </c>
      <c r="D50" s="220">
        <v>0</v>
      </c>
    </row>
    <row r="51" spans="1:4">
      <c r="A51" s="259" t="s">
        <v>429</v>
      </c>
      <c r="B51" s="260" t="s">
        <v>430</v>
      </c>
      <c r="C51" s="220">
        <v>24</v>
      </c>
      <c r="D51" s="220">
        <v>47</v>
      </c>
    </row>
    <row r="52" spans="1:4">
      <c r="A52" s="259" t="s">
        <v>431</v>
      </c>
      <c r="B52" s="260" t="s">
        <v>432</v>
      </c>
      <c r="C52" s="220">
        <v>1</v>
      </c>
      <c r="D52" s="220">
        <v>1</v>
      </c>
    </row>
    <row r="53" spans="1:4">
      <c r="A53" s="259" t="s">
        <v>433</v>
      </c>
      <c r="B53" s="260" t="s">
        <v>434</v>
      </c>
      <c r="C53" s="220">
        <v>0</v>
      </c>
      <c r="D53" s="220">
        <v>10</v>
      </c>
    </row>
    <row r="54" spans="1:4">
      <c r="A54" s="259" t="s">
        <v>435</v>
      </c>
      <c r="B54" s="260" t="s">
        <v>436</v>
      </c>
      <c r="C54" s="220">
        <v>0</v>
      </c>
      <c r="D54" s="220">
        <v>1</v>
      </c>
    </row>
    <row r="55" spans="1:4">
      <c r="A55" s="259" t="s">
        <v>437</v>
      </c>
      <c r="B55" s="260" t="s">
        <v>438</v>
      </c>
      <c r="C55" s="220">
        <v>9</v>
      </c>
      <c r="D55" s="220">
        <v>10</v>
      </c>
    </row>
    <row r="56" spans="1:4">
      <c r="A56" s="259" t="s">
        <v>439</v>
      </c>
      <c r="B56" s="260" t="s">
        <v>440</v>
      </c>
      <c r="C56" s="220">
        <v>2</v>
      </c>
      <c r="D56" s="220">
        <v>11</v>
      </c>
    </row>
    <row r="57" spans="1:4">
      <c r="A57" s="259" t="s">
        <v>441</v>
      </c>
      <c r="B57" s="263" t="s">
        <v>442</v>
      </c>
      <c r="C57" s="220">
        <v>2</v>
      </c>
      <c r="D57" s="220">
        <v>5</v>
      </c>
    </row>
    <row r="58" spans="1:4" ht="25.5">
      <c r="A58" s="259" t="s">
        <v>443</v>
      </c>
      <c r="B58" s="263" t="s">
        <v>444</v>
      </c>
      <c r="C58" s="220">
        <v>3</v>
      </c>
      <c r="D58" s="220">
        <v>3</v>
      </c>
    </row>
    <row r="59" spans="1:4" ht="25.5">
      <c r="A59" s="259" t="s">
        <v>445</v>
      </c>
      <c r="B59" s="263" t="s">
        <v>446</v>
      </c>
      <c r="C59" s="220">
        <v>2</v>
      </c>
      <c r="D59" s="220">
        <v>3</v>
      </c>
    </row>
    <row r="60" spans="1:4">
      <c r="A60" s="259" t="s">
        <v>447</v>
      </c>
      <c r="B60" s="260" t="s">
        <v>448</v>
      </c>
      <c r="C60" s="220">
        <v>1</v>
      </c>
      <c r="D60" s="220">
        <v>1</v>
      </c>
    </row>
    <row r="61" spans="1:4">
      <c r="A61" s="259" t="s">
        <v>449</v>
      </c>
      <c r="B61" s="260" t="s">
        <v>450</v>
      </c>
      <c r="C61" s="220">
        <v>1</v>
      </c>
      <c r="D61" s="220">
        <v>5</v>
      </c>
    </row>
    <row r="62" spans="1:4">
      <c r="A62" s="259" t="s">
        <v>451</v>
      </c>
      <c r="B62" s="260" t="s">
        <v>452</v>
      </c>
      <c r="C62" s="220">
        <v>10</v>
      </c>
      <c r="D62" s="220">
        <v>11</v>
      </c>
    </row>
    <row r="63" spans="1:4">
      <c r="A63" s="259" t="s">
        <v>453</v>
      </c>
      <c r="B63" s="260" t="s">
        <v>454</v>
      </c>
      <c r="C63" s="220">
        <v>30</v>
      </c>
      <c r="D63" s="220">
        <v>55</v>
      </c>
    </row>
    <row r="64" spans="1:4">
      <c r="A64" s="264" t="s">
        <v>455</v>
      </c>
      <c r="B64" s="260" t="s">
        <v>456</v>
      </c>
      <c r="C64" s="220">
        <v>4</v>
      </c>
      <c r="D64" s="220">
        <v>3</v>
      </c>
    </row>
    <row r="65" spans="1:4">
      <c r="A65" s="259" t="s">
        <v>457</v>
      </c>
      <c r="B65" s="260" t="s">
        <v>458</v>
      </c>
      <c r="C65" s="220">
        <v>16</v>
      </c>
      <c r="D65" s="220">
        <v>50</v>
      </c>
    </row>
    <row r="66" spans="1:4">
      <c r="A66" s="259" t="s">
        <v>459</v>
      </c>
      <c r="B66" s="260" t="s">
        <v>460</v>
      </c>
      <c r="C66" s="220">
        <v>59</v>
      </c>
      <c r="D66" s="220">
        <v>50</v>
      </c>
    </row>
    <row r="67" spans="1:4">
      <c r="A67" s="259" t="s">
        <v>461</v>
      </c>
      <c r="B67" s="260" t="s">
        <v>462</v>
      </c>
      <c r="C67" s="220">
        <v>10</v>
      </c>
      <c r="D67" s="220">
        <v>70</v>
      </c>
    </row>
    <row r="68" spans="1:4">
      <c r="A68" s="259" t="s">
        <v>463</v>
      </c>
      <c r="B68" s="260" t="s">
        <v>464</v>
      </c>
      <c r="C68" s="220">
        <v>2</v>
      </c>
      <c r="D68" s="220">
        <v>3</v>
      </c>
    </row>
    <row r="69" spans="1:4">
      <c r="A69" s="259" t="s">
        <v>465</v>
      </c>
      <c r="B69" s="260" t="s">
        <v>464</v>
      </c>
      <c r="C69" s="220">
        <v>8</v>
      </c>
      <c r="D69" s="220">
        <v>15</v>
      </c>
    </row>
    <row r="70" spans="1:4">
      <c r="A70" s="259" t="s">
        <v>466</v>
      </c>
      <c r="B70" s="260" t="s">
        <v>467</v>
      </c>
      <c r="C70" s="220">
        <v>1</v>
      </c>
      <c r="D70" s="220">
        <v>0</v>
      </c>
    </row>
    <row r="71" spans="1:4">
      <c r="A71" s="259" t="s">
        <v>468</v>
      </c>
      <c r="B71" s="260" t="s">
        <v>469</v>
      </c>
      <c r="C71" s="220">
        <v>0</v>
      </c>
      <c r="D71" s="220">
        <v>0</v>
      </c>
    </row>
    <row r="72" spans="1:4">
      <c r="A72" s="259" t="s">
        <v>470</v>
      </c>
      <c r="B72" s="260" t="s">
        <v>471</v>
      </c>
      <c r="C72" s="220">
        <v>0</v>
      </c>
      <c r="D72" s="220">
        <v>0</v>
      </c>
    </row>
    <row r="73" spans="1:4">
      <c r="A73" s="259" t="s">
        <v>472</v>
      </c>
      <c r="B73" s="260" t="s">
        <v>473</v>
      </c>
      <c r="C73" s="220">
        <v>2</v>
      </c>
      <c r="D73" s="220">
        <v>4</v>
      </c>
    </row>
    <row r="74" spans="1:4">
      <c r="A74" s="259" t="s">
        <v>474</v>
      </c>
      <c r="B74" s="260" t="s">
        <v>475</v>
      </c>
      <c r="C74" s="220">
        <v>1</v>
      </c>
      <c r="D74" s="220">
        <v>1</v>
      </c>
    </row>
    <row r="75" spans="1:4">
      <c r="A75" s="259" t="s">
        <v>476</v>
      </c>
      <c r="B75" s="260" t="s">
        <v>477</v>
      </c>
      <c r="C75" s="220">
        <v>1</v>
      </c>
      <c r="D75" s="220">
        <v>9</v>
      </c>
    </row>
    <row r="76" spans="1:4">
      <c r="A76" s="259" t="s">
        <v>478</v>
      </c>
      <c r="B76" s="260" t="s">
        <v>479</v>
      </c>
      <c r="C76" s="220">
        <v>2</v>
      </c>
      <c r="D76" s="220">
        <v>0</v>
      </c>
    </row>
    <row r="77" spans="1:4">
      <c r="A77" s="259" t="s">
        <v>480</v>
      </c>
      <c r="B77" s="260" t="s">
        <v>481</v>
      </c>
      <c r="C77" s="220">
        <v>5</v>
      </c>
      <c r="D77" s="220">
        <v>3</v>
      </c>
    </row>
    <row r="78" spans="1:4">
      <c r="A78" s="259" t="s">
        <v>482</v>
      </c>
      <c r="B78" s="260" t="s">
        <v>483</v>
      </c>
      <c r="C78" s="220">
        <v>10</v>
      </c>
      <c r="D78" s="220">
        <v>175</v>
      </c>
    </row>
    <row r="79" spans="1:4">
      <c r="A79" s="259" t="s">
        <v>484</v>
      </c>
      <c r="B79" s="260" t="s">
        <v>485</v>
      </c>
      <c r="C79" s="220">
        <v>0</v>
      </c>
      <c r="D79" s="220">
        <v>0</v>
      </c>
    </row>
    <row r="80" spans="1:4">
      <c r="A80" s="259" t="s">
        <v>486</v>
      </c>
      <c r="B80" s="260" t="s">
        <v>487</v>
      </c>
      <c r="C80" s="220">
        <v>0</v>
      </c>
      <c r="D80" s="220">
        <v>1</v>
      </c>
    </row>
    <row r="81" spans="1:4">
      <c r="A81" s="259" t="s">
        <v>488</v>
      </c>
      <c r="B81" s="260" t="s">
        <v>489</v>
      </c>
      <c r="C81" s="220">
        <v>0</v>
      </c>
      <c r="D81" s="220">
        <v>0</v>
      </c>
    </row>
    <row r="82" spans="1:4">
      <c r="A82" s="259" t="s">
        <v>490</v>
      </c>
      <c r="B82" s="260" t="s">
        <v>491</v>
      </c>
      <c r="C82" s="220">
        <v>2</v>
      </c>
      <c r="D82" s="220">
        <v>1</v>
      </c>
    </row>
    <row r="83" spans="1:4">
      <c r="A83" s="259" t="s">
        <v>492</v>
      </c>
      <c r="B83" s="260" t="s">
        <v>493</v>
      </c>
      <c r="C83" s="220">
        <v>2</v>
      </c>
      <c r="D83" s="220">
        <v>3</v>
      </c>
    </row>
    <row r="84" spans="1:4">
      <c r="A84" s="259" t="s">
        <v>494</v>
      </c>
      <c r="B84" s="260" t="s">
        <v>495</v>
      </c>
      <c r="C84" s="220">
        <v>8</v>
      </c>
      <c r="D84" s="220">
        <v>9</v>
      </c>
    </row>
    <row r="85" spans="1:4">
      <c r="A85" s="259" t="s">
        <v>496</v>
      </c>
      <c r="B85" s="260" t="s">
        <v>497</v>
      </c>
      <c r="C85" s="220">
        <v>10</v>
      </c>
      <c r="D85" s="220">
        <v>12</v>
      </c>
    </row>
    <row r="86" spans="1:4" ht="25.5">
      <c r="A86" s="259" t="s">
        <v>498</v>
      </c>
      <c r="B86" s="260" t="s">
        <v>499</v>
      </c>
      <c r="C86" s="220">
        <v>1</v>
      </c>
      <c r="D86" s="220">
        <v>1</v>
      </c>
    </row>
    <row r="87" spans="1:4" ht="25.5">
      <c r="A87" s="259" t="s">
        <v>500</v>
      </c>
      <c r="B87" s="260" t="s">
        <v>501</v>
      </c>
      <c r="C87" s="220">
        <v>1</v>
      </c>
      <c r="D87" s="220">
        <v>3</v>
      </c>
    </row>
    <row r="88" spans="1:4" ht="25.5">
      <c r="A88" s="259" t="s">
        <v>502</v>
      </c>
      <c r="B88" s="260" t="s">
        <v>503</v>
      </c>
      <c r="C88" s="220">
        <v>2</v>
      </c>
      <c r="D88" s="220">
        <v>5</v>
      </c>
    </row>
    <row r="89" spans="1:4" ht="18.75">
      <c r="A89" s="258">
        <v>2</v>
      </c>
      <c r="B89" s="265" t="s">
        <v>504</v>
      </c>
      <c r="C89" s="257">
        <v>0</v>
      </c>
      <c r="D89" s="257">
        <v>0</v>
      </c>
    </row>
    <row r="90" spans="1:4">
      <c r="A90" s="259" t="s">
        <v>505</v>
      </c>
      <c r="B90" s="260" t="s">
        <v>506</v>
      </c>
      <c r="C90" s="220">
        <v>0</v>
      </c>
      <c r="D90" s="220">
        <v>0</v>
      </c>
    </row>
    <row r="91" spans="1:4">
      <c r="A91" s="259" t="s">
        <v>507</v>
      </c>
      <c r="B91" s="260" t="s">
        <v>508</v>
      </c>
      <c r="C91" s="220">
        <v>0</v>
      </c>
      <c r="D91" s="220">
        <v>0</v>
      </c>
    </row>
    <row r="92" spans="1:4">
      <c r="A92" s="259" t="s">
        <v>509</v>
      </c>
      <c r="B92" s="260" t="s">
        <v>510</v>
      </c>
      <c r="C92" s="220">
        <v>0</v>
      </c>
      <c r="D92" s="220">
        <v>0</v>
      </c>
    </row>
    <row r="93" spans="1:4">
      <c r="A93" s="259" t="s">
        <v>511</v>
      </c>
      <c r="B93" s="263" t="s">
        <v>512</v>
      </c>
      <c r="C93" s="220">
        <v>0</v>
      </c>
      <c r="D93" s="220">
        <v>0</v>
      </c>
    </row>
    <row r="94" spans="1:4">
      <c r="A94" s="259" t="s">
        <v>513</v>
      </c>
      <c r="B94" s="263" t="s">
        <v>514</v>
      </c>
      <c r="C94" s="220">
        <v>0</v>
      </c>
      <c r="D94" s="220">
        <v>0</v>
      </c>
    </row>
    <row r="95" spans="1:4">
      <c r="A95" s="259" t="s">
        <v>515</v>
      </c>
      <c r="B95" s="263" t="s">
        <v>516</v>
      </c>
      <c r="C95" s="220">
        <v>0</v>
      </c>
      <c r="D95" s="220">
        <v>0</v>
      </c>
    </row>
    <row r="96" spans="1:4">
      <c r="A96" s="259" t="s">
        <v>517</v>
      </c>
      <c r="B96" s="263" t="s">
        <v>518</v>
      </c>
      <c r="C96" s="220">
        <v>0</v>
      </c>
      <c r="D96" s="220">
        <v>0</v>
      </c>
    </row>
    <row r="97" spans="1:4">
      <c r="A97" s="259" t="s">
        <v>519</v>
      </c>
      <c r="B97" s="263" t="s">
        <v>520</v>
      </c>
      <c r="C97" s="220">
        <v>0</v>
      </c>
      <c r="D97" s="220">
        <v>0</v>
      </c>
    </row>
    <row r="98" spans="1:4">
      <c r="A98" s="259" t="s">
        <v>521</v>
      </c>
      <c r="B98" s="263" t="s">
        <v>522</v>
      </c>
      <c r="C98" s="220">
        <v>0</v>
      </c>
      <c r="D98" s="220">
        <v>0</v>
      </c>
    </row>
    <row r="99" spans="1:4">
      <c r="A99" s="259" t="s">
        <v>523</v>
      </c>
      <c r="B99" s="263" t="s">
        <v>524</v>
      </c>
      <c r="C99" s="220">
        <v>0</v>
      </c>
      <c r="D99" s="220">
        <v>0</v>
      </c>
    </row>
    <row r="100" spans="1:4">
      <c r="A100" s="259" t="s">
        <v>525</v>
      </c>
      <c r="B100" s="263" t="s">
        <v>526</v>
      </c>
      <c r="C100" s="220">
        <v>0</v>
      </c>
      <c r="D100" s="220">
        <v>0</v>
      </c>
    </row>
    <row r="101" spans="1:4">
      <c r="A101" s="259" t="s">
        <v>527</v>
      </c>
      <c r="B101" s="263" t="s">
        <v>528</v>
      </c>
      <c r="C101" s="220">
        <v>0</v>
      </c>
      <c r="D101" s="220">
        <v>0</v>
      </c>
    </row>
    <row r="102" spans="1:4">
      <c r="A102" s="259" t="s">
        <v>529</v>
      </c>
      <c r="B102" s="263" t="s">
        <v>530</v>
      </c>
      <c r="C102" s="220">
        <v>0</v>
      </c>
      <c r="D102" s="220">
        <v>0</v>
      </c>
    </row>
    <row r="103" spans="1:4">
      <c r="A103" s="259" t="s">
        <v>531</v>
      </c>
      <c r="B103" s="263" t="s">
        <v>532</v>
      </c>
      <c r="C103" s="220">
        <v>0</v>
      </c>
      <c r="D103" s="220">
        <v>0</v>
      </c>
    </row>
    <row r="104" spans="1:4">
      <c r="A104" s="259" t="s">
        <v>533</v>
      </c>
      <c r="B104" s="263" t="s">
        <v>534</v>
      </c>
      <c r="C104" s="220">
        <v>0</v>
      </c>
      <c r="D104" s="220">
        <v>8</v>
      </c>
    </row>
    <row r="105" spans="1:4">
      <c r="A105" s="259" t="s">
        <v>535</v>
      </c>
      <c r="B105" s="263" t="s">
        <v>536</v>
      </c>
      <c r="C105" s="220">
        <v>1</v>
      </c>
      <c r="D105" s="220">
        <v>1</v>
      </c>
    </row>
    <row r="106" spans="1:4">
      <c r="A106" s="259" t="s">
        <v>537</v>
      </c>
      <c r="B106" s="263" t="s">
        <v>538</v>
      </c>
      <c r="C106" s="220">
        <v>0</v>
      </c>
      <c r="D106" s="220">
        <v>0</v>
      </c>
    </row>
    <row r="107" spans="1:4">
      <c r="A107" s="259" t="s">
        <v>539</v>
      </c>
      <c r="B107" s="263" t="s">
        <v>540</v>
      </c>
      <c r="C107" s="220">
        <v>3</v>
      </c>
      <c r="D107" s="220">
        <v>0</v>
      </c>
    </row>
    <row r="108" spans="1:4">
      <c r="A108" s="259" t="s">
        <v>541</v>
      </c>
      <c r="B108" s="263" t="s">
        <v>542</v>
      </c>
      <c r="C108" s="220">
        <v>13</v>
      </c>
      <c r="D108" s="220">
        <v>3</v>
      </c>
    </row>
    <row r="109" spans="1:4" ht="18.75">
      <c r="A109" s="258">
        <v>3</v>
      </c>
      <c r="B109" s="265" t="s">
        <v>543</v>
      </c>
      <c r="C109" s="257">
        <v>0</v>
      </c>
      <c r="D109" s="257">
        <v>0</v>
      </c>
    </row>
    <row r="110" spans="1:4">
      <c r="A110" s="259" t="s">
        <v>544</v>
      </c>
      <c r="B110" s="263" t="s">
        <v>545</v>
      </c>
      <c r="C110" s="220">
        <v>0</v>
      </c>
      <c r="D110" s="220">
        <v>0</v>
      </c>
    </row>
    <row r="111" spans="1:4">
      <c r="A111" s="259" t="s">
        <v>546</v>
      </c>
      <c r="B111" s="263" t="s">
        <v>547</v>
      </c>
      <c r="C111" s="220">
        <v>0</v>
      </c>
      <c r="D111" s="220">
        <v>0</v>
      </c>
    </row>
    <row r="112" spans="1:4">
      <c r="A112" s="259" t="s">
        <v>548</v>
      </c>
      <c r="B112" s="263" t="s">
        <v>549</v>
      </c>
      <c r="C112" s="220">
        <v>0</v>
      </c>
      <c r="D112" s="220">
        <v>0</v>
      </c>
    </row>
    <row r="113" spans="1:4">
      <c r="A113" s="259" t="s">
        <v>550</v>
      </c>
      <c r="B113" s="263" t="s">
        <v>551</v>
      </c>
      <c r="C113" s="220">
        <v>0</v>
      </c>
      <c r="D113" s="220">
        <v>0</v>
      </c>
    </row>
    <row r="114" spans="1:4">
      <c r="A114" s="259" t="s">
        <v>552</v>
      </c>
      <c r="B114" s="263" t="s">
        <v>553</v>
      </c>
      <c r="C114" s="220">
        <v>0</v>
      </c>
      <c r="D114" s="220">
        <v>0</v>
      </c>
    </row>
    <row r="115" spans="1:4">
      <c r="A115" s="259" t="s">
        <v>554</v>
      </c>
      <c r="B115" s="263" t="s">
        <v>555</v>
      </c>
      <c r="C115" s="220">
        <v>0</v>
      </c>
      <c r="D115" s="220">
        <v>0</v>
      </c>
    </row>
    <row r="116" spans="1:4">
      <c r="A116" s="259" t="s">
        <v>556</v>
      </c>
      <c r="B116" s="263" t="s">
        <v>557</v>
      </c>
      <c r="C116" s="220">
        <v>0</v>
      </c>
      <c r="D116" s="220">
        <v>0</v>
      </c>
    </row>
    <row r="117" spans="1:4">
      <c r="A117" s="259" t="s">
        <v>558</v>
      </c>
      <c r="B117" s="263" t="s">
        <v>559</v>
      </c>
      <c r="C117" s="220">
        <v>0</v>
      </c>
      <c r="D117" s="220">
        <v>0</v>
      </c>
    </row>
    <row r="118" spans="1:4" ht="25.5">
      <c r="A118" s="259" t="s">
        <v>560</v>
      </c>
      <c r="B118" s="263" t="s">
        <v>561</v>
      </c>
      <c r="C118" s="220">
        <v>0</v>
      </c>
      <c r="D118" s="220">
        <v>0</v>
      </c>
    </row>
    <row r="119" spans="1:4">
      <c r="A119" s="264" t="s">
        <v>562</v>
      </c>
      <c r="B119" s="266" t="s">
        <v>563</v>
      </c>
      <c r="C119" s="220">
        <v>0</v>
      </c>
      <c r="D119" s="220">
        <v>0</v>
      </c>
    </row>
    <row r="120" spans="1:4">
      <c r="A120" s="259" t="s">
        <v>564</v>
      </c>
      <c r="B120" s="263" t="s">
        <v>565</v>
      </c>
      <c r="C120" s="220">
        <v>0</v>
      </c>
      <c r="D120" s="220">
        <v>0</v>
      </c>
    </row>
    <row r="121" spans="1:4">
      <c r="A121" s="259" t="s">
        <v>566</v>
      </c>
      <c r="B121" s="263" t="s">
        <v>567</v>
      </c>
      <c r="C121" s="220">
        <v>0</v>
      </c>
      <c r="D121" s="220">
        <v>0</v>
      </c>
    </row>
    <row r="122" spans="1:4">
      <c r="A122" s="259" t="s">
        <v>568</v>
      </c>
      <c r="B122" s="263" t="s">
        <v>569</v>
      </c>
      <c r="C122" s="220">
        <v>0</v>
      </c>
      <c r="D122" s="220">
        <v>0</v>
      </c>
    </row>
    <row r="123" spans="1:4">
      <c r="A123" s="259" t="s">
        <v>570</v>
      </c>
      <c r="B123" s="263" t="s">
        <v>571</v>
      </c>
      <c r="C123" s="220">
        <v>0</v>
      </c>
      <c r="D123" s="220">
        <v>0</v>
      </c>
    </row>
    <row r="124" spans="1:4">
      <c r="A124" s="259" t="s">
        <v>572</v>
      </c>
      <c r="B124" s="263" t="s">
        <v>573</v>
      </c>
      <c r="C124" s="220">
        <v>0</v>
      </c>
      <c r="D124" s="220">
        <v>0</v>
      </c>
    </row>
    <row r="125" spans="1:4">
      <c r="A125" s="259" t="s">
        <v>574</v>
      </c>
      <c r="B125" s="263" t="s">
        <v>575</v>
      </c>
      <c r="C125" s="220">
        <v>0</v>
      </c>
      <c r="D125" s="220">
        <v>0</v>
      </c>
    </row>
    <row r="126" spans="1:4">
      <c r="A126" s="259" t="s">
        <v>576</v>
      </c>
      <c r="B126" s="267" t="s">
        <v>577</v>
      </c>
      <c r="C126" s="220">
        <v>0</v>
      </c>
      <c r="D126" s="220">
        <v>0</v>
      </c>
    </row>
    <row r="127" spans="1:4">
      <c r="A127" s="259" t="s">
        <v>578</v>
      </c>
      <c r="B127" s="263" t="s">
        <v>579</v>
      </c>
      <c r="C127" s="220">
        <v>0</v>
      </c>
      <c r="D127" s="220">
        <v>0</v>
      </c>
    </row>
    <row r="128" spans="1:4">
      <c r="A128" s="259" t="s">
        <v>580</v>
      </c>
      <c r="B128" s="263" t="s">
        <v>581</v>
      </c>
      <c r="C128" s="220">
        <v>4</v>
      </c>
      <c r="D128" s="220">
        <v>1</v>
      </c>
    </row>
    <row r="129" spans="1:4">
      <c r="A129" s="259" t="s">
        <v>582</v>
      </c>
      <c r="B129" s="263" t="s">
        <v>583</v>
      </c>
      <c r="C129" s="220">
        <v>105</v>
      </c>
      <c r="D129" s="220">
        <v>108</v>
      </c>
    </row>
    <row r="130" spans="1:4">
      <c r="A130" s="259" t="s">
        <v>584</v>
      </c>
      <c r="B130" s="263" t="s">
        <v>585</v>
      </c>
      <c r="C130" s="220">
        <v>1</v>
      </c>
      <c r="D130" s="220">
        <v>15</v>
      </c>
    </row>
    <row r="131" spans="1:4">
      <c r="A131" s="259" t="s">
        <v>586</v>
      </c>
      <c r="B131" s="263" t="s">
        <v>587</v>
      </c>
      <c r="C131" s="220">
        <v>41</v>
      </c>
      <c r="D131" s="220">
        <v>433</v>
      </c>
    </row>
    <row r="132" spans="1:4">
      <c r="A132" s="259" t="s">
        <v>588</v>
      </c>
      <c r="B132" s="263" t="s">
        <v>589</v>
      </c>
      <c r="C132" s="220">
        <v>4</v>
      </c>
      <c r="D132" s="220">
        <v>18</v>
      </c>
    </row>
    <row r="133" spans="1:4">
      <c r="A133" s="259" t="s">
        <v>590</v>
      </c>
      <c r="B133" s="263" t="s">
        <v>591</v>
      </c>
      <c r="C133" s="220">
        <v>0</v>
      </c>
      <c r="D133" s="220">
        <v>0</v>
      </c>
    </row>
    <row r="134" spans="1:4">
      <c r="A134" s="259" t="s">
        <v>592</v>
      </c>
      <c r="B134" s="263" t="s">
        <v>593</v>
      </c>
      <c r="C134" s="220">
        <v>0</v>
      </c>
      <c r="D134" s="220">
        <v>1</v>
      </c>
    </row>
    <row r="135" spans="1:4">
      <c r="A135" s="259" t="s">
        <v>594</v>
      </c>
      <c r="B135" s="263" t="s">
        <v>595</v>
      </c>
      <c r="C135" s="220">
        <v>3</v>
      </c>
      <c r="D135" s="220">
        <v>112</v>
      </c>
    </row>
    <row r="136" spans="1:4">
      <c r="A136" s="259" t="s">
        <v>596</v>
      </c>
      <c r="B136" s="267" t="s">
        <v>597</v>
      </c>
      <c r="C136" s="220">
        <v>3</v>
      </c>
      <c r="D136" s="220">
        <v>27</v>
      </c>
    </row>
    <row r="137" spans="1:4">
      <c r="A137" s="259" t="s">
        <v>598</v>
      </c>
      <c r="B137" s="267" t="s">
        <v>599</v>
      </c>
      <c r="C137" s="220">
        <v>0</v>
      </c>
      <c r="D137" s="220">
        <v>5</v>
      </c>
    </row>
    <row r="138" spans="1:4" ht="18.75">
      <c r="A138" s="258">
        <v>4</v>
      </c>
      <c r="B138" s="265" t="s">
        <v>600</v>
      </c>
      <c r="C138" s="257">
        <v>0</v>
      </c>
      <c r="D138" s="257">
        <v>0</v>
      </c>
    </row>
    <row r="139" spans="1:4">
      <c r="A139" s="259" t="s">
        <v>601</v>
      </c>
      <c r="B139" s="263" t="s">
        <v>602</v>
      </c>
      <c r="C139" s="220">
        <v>0</v>
      </c>
      <c r="D139" s="220">
        <v>0</v>
      </c>
    </row>
    <row r="140" spans="1:4">
      <c r="A140" s="259" t="s">
        <v>603</v>
      </c>
      <c r="B140" s="263" t="s">
        <v>604</v>
      </c>
      <c r="C140" s="220">
        <v>0</v>
      </c>
      <c r="D140" s="220">
        <v>0</v>
      </c>
    </row>
    <row r="141" spans="1:4">
      <c r="A141" s="259" t="s">
        <v>605</v>
      </c>
      <c r="B141" s="263" t="s">
        <v>606</v>
      </c>
      <c r="C141" s="220">
        <v>0</v>
      </c>
      <c r="D141" s="220">
        <v>0</v>
      </c>
    </row>
    <row r="142" spans="1:4">
      <c r="A142" s="259" t="s">
        <v>607</v>
      </c>
      <c r="B142" s="263" t="s">
        <v>608</v>
      </c>
      <c r="C142" s="220">
        <v>0</v>
      </c>
      <c r="D142" s="220">
        <v>0</v>
      </c>
    </row>
    <row r="143" spans="1:4">
      <c r="A143" s="259" t="s">
        <v>609</v>
      </c>
      <c r="B143" s="263" t="s">
        <v>610</v>
      </c>
      <c r="C143" s="220">
        <v>0</v>
      </c>
      <c r="D143" s="220">
        <v>0</v>
      </c>
    </row>
    <row r="144" spans="1:4">
      <c r="A144" s="259" t="s">
        <v>611</v>
      </c>
      <c r="B144" s="263" t="s">
        <v>612</v>
      </c>
      <c r="C144" s="220">
        <v>0</v>
      </c>
      <c r="D144" s="220">
        <v>0</v>
      </c>
    </row>
    <row r="145" spans="1:4">
      <c r="A145" s="259" t="s">
        <v>613</v>
      </c>
      <c r="B145" s="263" t="s">
        <v>614</v>
      </c>
      <c r="C145" s="220">
        <v>0</v>
      </c>
      <c r="D145" s="220">
        <v>0</v>
      </c>
    </row>
    <row r="146" spans="1:4">
      <c r="A146" s="259" t="s">
        <v>615</v>
      </c>
      <c r="B146" s="263" t="s">
        <v>616</v>
      </c>
      <c r="C146" s="220">
        <v>0</v>
      </c>
      <c r="D146" s="220">
        <v>0</v>
      </c>
    </row>
    <row r="147" spans="1:4">
      <c r="A147" s="259" t="s">
        <v>617</v>
      </c>
      <c r="B147" s="263" t="s">
        <v>618</v>
      </c>
      <c r="C147" s="220">
        <v>0</v>
      </c>
      <c r="D147" s="220">
        <v>0</v>
      </c>
    </row>
    <row r="148" spans="1:4">
      <c r="A148" s="259" t="s">
        <v>619</v>
      </c>
      <c r="B148" s="263" t="s">
        <v>620</v>
      </c>
      <c r="C148" s="220">
        <v>0</v>
      </c>
      <c r="D148" s="220">
        <v>0</v>
      </c>
    </row>
    <row r="149" spans="1:4">
      <c r="A149" s="259" t="s">
        <v>621</v>
      </c>
      <c r="B149" s="263" t="s">
        <v>622</v>
      </c>
      <c r="C149" s="220">
        <v>0</v>
      </c>
      <c r="D149" s="220">
        <v>0</v>
      </c>
    </row>
    <row r="150" spans="1:4">
      <c r="A150" s="259" t="s">
        <v>623</v>
      </c>
      <c r="B150" s="263" t="s">
        <v>624</v>
      </c>
      <c r="C150" s="220">
        <v>0</v>
      </c>
      <c r="D150" s="220">
        <v>0</v>
      </c>
    </row>
    <row r="151" spans="1:4">
      <c r="A151" s="259" t="s">
        <v>625</v>
      </c>
      <c r="B151" s="263" t="s">
        <v>626</v>
      </c>
      <c r="C151" s="220">
        <v>0</v>
      </c>
      <c r="D151" s="220">
        <v>0</v>
      </c>
    </row>
    <row r="152" spans="1:4">
      <c r="A152" s="259" t="s">
        <v>627</v>
      </c>
      <c r="B152" s="263" t="s">
        <v>628</v>
      </c>
      <c r="C152" s="220">
        <v>1</v>
      </c>
      <c r="D152" s="220">
        <v>1</v>
      </c>
    </row>
    <row r="153" spans="1:4">
      <c r="A153" s="259" t="s">
        <v>629</v>
      </c>
      <c r="B153" s="263" t="s">
        <v>630</v>
      </c>
      <c r="C153" s="220">
        <v>2</v>
      </c>
      <c r="D153" s="220">
        <v>3</v>
      </c>
    </row>
    <row r="154" spans="1:4">
      <c r="A154" s="259" t="s">
        <v>631</v>
      </c>
      <c r="B154" s="263" t="s">
        <v>632</v>
      </c>
      <c r="C154" s="220">
        <v>16</v>
      </c>
      <c r="D154" s="220">
        <v>21</v>
      </c>
    </row>
    <row r="155" spans="1:4">
      <c r="A155" s="259" t="s">
        <v>633</v>
      </c>
      <c r="B155" s="263" t="s">
        <v>634</v>
      </c>
      <c r="C155" s="220">
        <v>69</v>
      </c>
      <c r="D155" s="220">
        <v>150</v>
      </c>
    </row>
    <row r="156" spans="1:4">
      <c r="A156" s="259" t="s">
        <v>635</v>
      </c>
      <c r="B156" s="263" t="s">
        <v>636</v>
      </c>
      <c r="C156" s="220">
        <v>66</v>
      </c>
      <c r="D156" s="220">
        <v>229</v>
      </c>
    </row>
    <row r="157" spans="1:4">
      <c r="A157" s="259" t="s">
        <v>637</v>
      </c>
      <c r="B157" s="263" t="s">
        <v>638</v>
      </c>
      <c r="C157" s="220">
        <v>0</v>
      </c>
      <c r="D157" s="220">
        <v>5</v>
      </c>
    </row>
    <row r="158" spans="1:4">
      <c r="A158" s="259" t="s">
        <v>639</v>
      </c>
      <c r="B158" s="263" t="s">
        <v>640</v>
      </c>
      <c r="C158" s="220">
        <v>18</v>
      </c>
      <c r="D158" s="220">
        <v>40</v>
      </c>
    </row>
    <row r="159" spans="1:4">
      <c r="A159" s="259" t="s">
        <v>641</v>
      </c>
      <c r="B159" s="263" t="s">
        <v>642</v>
      </c>
      <c r="C159" s="220">
        <v>65</v>
      </c>
      <c r="D159" s="220">
        <v>60</v>
      </c>
    </row>
    <row r="160" spans="1:4">
      <c r="A160" s="259" t="s">
        <v>643</v>
      </c>
      <c r="B160" s="263" t="s">
        <v>644</v>
      </c>
      <c r="C160" s="220">
        <v>2</v>
      </c>
      <c r="D160" s="220">
        <v>39</v>
      </c>
    </row>
    <row r="161" spans="1:4">
      <c r="A161" s="259" t="s">
        <v>645</v>
      </c>
      <c r="B161" s="263" t="s">
        <v>646</v>
      </c>
      <c r="C161" s="220">
        <v>77</v>
      </c>
      <c r="D161" s="220">
        <v>495</v>
      </c>
    </row>
    <row r="162" spans="1:4">
      <c r="A162" s="259" t="s">
        <v>647</v>
      </c>
      <c r="B162" s="263" t="s">
        <v>648</v>
      </c>
      <c r="C162" s="220">
        <v>0</v>
      </c>
      <c r="D162" s="220">
        <v>0</v>
      </c>
    </row>
    <row r="163" spans="1:4">
      <c r="A163" s="259" t="s">
        <v>649</v>
      </c>
      <c r="B163" s="263" t="s">
        <v>650</v>
      </c>
      <c r="C163" s="220">
        <v>1</v>
      </c>
      <c r="D163" s="220">
        <v>4</v>
      </c>
    </row>
    <row r="164" spans="1:4">
      <c r="A164" s="259" t="s">
        <v>651</v>
      </c>
      <c r="B164" s="263" t="s">
        <v>652</v>
      </c>
      <c r="C164" s="220">
        <v>6</v>
      </c>
      <c r="D164" s="220">
        <v>2</v>
      </c>
    </row>
    <row r="165" spans="1:4">
      <c r="A165" s="259" t="s">
        <v>653</v>
      </c>
      <c r="B165" s="263" t="s">
        <v>654</v>
      </c>
      <c r="C165" s="220">
        <v>2</v>
      </c>
      <c r="D165" s="220">
        <v>2</v>
      </c>
    </row>
    <row r="166" spans="1:4">
      <c r="A166" s="259" t="s">
        <v>655</v>
      </c>
      <c r="B166" s="263" t="s">
        <v>656</v>
      </c>
      <c r="C166" s="220">
        <v>2</v>
      </c>
      <c r="D166" s="220">
        <v>160</v>
      </c>
    </row>
    <row r="167" spans="1:4">
      <c r="A167" s="259" t="s">
        <v>657</v>
      </c>
      <c r="B167" s="263" t="s">
        <v>658</v>
      </c>
      <c r="C167" s="220">
        <v>0</v>
      </c>
      <c r="D167" s="220">
        <v>0</v>
      </c>
    </row>
    <row r="168" spans="1:4">
      <c r="A168" s="259" t="s">
        <v>659</v>
      </c>
      <c r="B168" s="263" t="s">
        <v>660</v>
      </c>
      <c r="C168" s="220">
        <v>1</v>
      </c>
      <c r="D168" s="220">
        <v>3</v>
      </c>
    </row>
    <row r="169" spans="1:4">
      <c r="A169" s="259" t="s">
        <v>661</v>
      </c>
      <c r="B169" s="263" t="s">
        <v>662</v>
      </c>
      <c r="C169" s="220">
        <v>7</v>
      </c>
      <c r="D169" s="220">
        <v>117</v>
      </c>
    </row>
    <row r="170" spans="1:4">
      <c r="A170" s="259" t="s">
        <v>663</v>
      </c>
      <c r="B170" s="263" t="s">
        <v>664</v>
      </c>
      <c r="C170" s="220">
        <v>26</v>
      </c>
      <c r="D170" s="220">
        <v>442</v>
      </c>
    </row>
    <row r="171" spans="1:4">
      <c r="A171" s="259" t="s">
        <v>665</v>
      </c>
      <c r="B171" s="263" t="s">
        <v>666</v>
      </c>
      <c r="C171" s="220">
        <v>6</v>
      </c>
      <c r="D171" s="220">
        <v>59</v>
      </c>
    </row>
    <row r="172" spans="1:4">
      <c r="A172" s="259" t="s">
        <v>667</v>
      </c>
      <c r="B172" s="263" t="s">
        <v>668</v>
      </c>
      <c r="C172" s="220">
        <v>10</v>
      </c>
      <c r="D172" s="220">
        <v>30</v>
      </c>
    </row>
    <row r="173" spans="1:4">
      <c r="A173" s="259" t="s">
        <v>669</v>
      </c>
      <c r="B173" s="263" t="s">
        <v>670</v>
      </c>
      <c r="C173" s="220">
        <v>4</v>
      </c>
      <c r="D173" s="220">
        <v>20</v>
      </c>
    </row>
    <row r="174" spans="1:4">
      <c r="A174" s="259" t="s">
        <v>671</v>
      </c>
      <c r="B174" s="266" t="s">
        <v>672</v>
      </c>
      <c r="C174" s="220">
        <v>18</v>
      </c>
      <c r="D174" s="220">
        <v>31</v>
      </c>
    </row>
    <row r="175" spans="1:4">
      <c r="A175" s="259" t="s">
        <v>673</v>
      </c>
      <c r="B175" s="263" t="s">
        <v>674</v>
      </c>
      <c r="C175" s="220">
        <v>0</v>
      </c>
      <c r="D175" s="220">
        <v>0</v>
      </c>
    </row>
    <row r="176" spans="1:4">
      <c r="A176" s="259" t="s">
        <v>675</v>
      </c>
      <c r="B176" s="263" t="s">
        <v>676</v>
      </c>
      <c r="C176" s="220">
        <v>1</v>
      </c>
      <c r="D176" s="220">
        <v>5</v>
      </c>
    </row>
    <row r="177" spans="1:4">
      <c r="A177" s="259" t="s">
        <v>677</v>
      </c>
      <c r="B177" s="263" t="s">
        <v>678</v>
      </c>
      <c r="C177" s="220">
        <v>2</v>
      </c>
      <c r="D177" s="220">
        <v>20</v>
      </c>
    </row>
    <row r="178" spans="1:4">
      <c r="A178" s="259" t="s">
        <v>679</v>
      </c>
      <c r="B178" s="263" t="s">
        <v>680</v>
      </c>
      <c r="C178" s="220">
        <v>1</v>
      </c>
      <c r="D178" s="220">
        <v>50</v>
      </c>
    </row>
    <row r="179" spans="1:4">
      <c r="A179" s="259" t="s">
        <v>681</v>
      </c>
      <c r="B179" s="263" t="s">
        <v>682</v>
      </c>
      <c r="C179" s="220">
        <v>0</v>
      </c>
      <c r="D179" s="220">
        <v>0</v>
      </c>
    </row>
    <row r="180" spans="1:4">
      <c r="A180" s="259" t="s">
        <v>683</v>
      </c>
      <c r="B180" s="263" t="s">
        <v>684</v>
      </c>
      <c r="C180" s="220">
        <v>0</v>
      </c>
      <c r="D180" s="220">
        <v>0</v>
      </c>
    </row>
    <row r="181" spans="1:4">
      <c r="A181" s="259" t="s">
        <v>685</v>
      </c>
      <c r="B181" s="263" t="s">
        <v>686</v>
      </c>
      <c r="C181" s="220">
        <v>0</v>
      </c>
      <c r="D181" s="220">
        <v>5</v>
      </c>
    </row>
    <row r="182" spans="1:4">
      <c r="A182" s="259" t="s">
        <v>687</v>
      </c>
      <c r="B182" s="263" t="s">
        <v>688</v>
      </c>
      <c r="C182" s="220">
        <v>1</v>
      </c>
      <c r="D182" s="220">
        <v>5</v>
      </c>
    </row>
    <row r="183" spans="1:4">
      <c r="A183" s="259" t="s">
        <v>689</v>
      </c>
      <c r="B183" s="263" t="s">
        <v>690</v>
      </c>
      <c r="C183" s="220">
        <v>4</v>
      </c>
      <c r="D183" s="220">
        <v>5</v>
      </c>
    </row>
    <row r="184" spans="1:4">
      <c r="A184" s="259" t="s">
        <v>691</v>
      </c>
      <c r="B184" s="263" t="s">
        <v>692</v>
      </c>
      <c r="C184" s="220">
        <v>8</v>
      </c>
      <c r="D184" s="220">
        <v>8</v>
      </c>
    </row>
    <row r="185" spans="1:4">
      <c r="A185" s="259" t="s">
        <v>693</v>
      </c>
      <c r="B185" s="263" t="s">
        <v>694</v>
      </c>
      <c r="C185" s="220">
        <v>0</v>
      </c>
      <c r="D185" s="220">
        <v>0</v>
      </c>
    </row>
    <row r="186" spans="1:4" ht="18.75">
      <c r="A186" s="258">
        <v>5</v>
      </c>
      <c r="B186" s="265" t="s">
        <v>695</v>
      </c>
      <c r="C186" s="257">
        <v>0</v>
      </c>
      <c r="D186" s="257">
        <v>0</v>
      </c>
    </row>
    <row r="187" spans="1:4" ht="25.5">
      <c r="A187" s="259" t="s">
        <v>696</v>
      </c>
      <c r="B187" s="263" t="s">
        <v>697</v>
      </c>
      <c r="C187" s="220">
        <v>0</v>
      </c>
      <c r="D187" s="220">
        <v>0</v>
      </c>
    </row>
    <row r="188" spans="1:4" ht="25.5">
      <c r="A188" s="259" t="s">
        <v>698</v>
      </c>
      <c r="B188" s="263" t="s">
        <v>699</v>
      </c>
      <c r="C188" s="220">
        <v>0</v>
      </c>
      <c r="D188" s="220">
        <v>0</v>
      </c>
    </row>
    <row r="189" spans="1:4">
      <c r="A189" s="259" t="s">
        <v>700</v>
      </c>
      <c r="B189" s="263" t="s">
        <v>701</v>
      </c>
      <c r="C189" s="220">
        <v>0</v>
      </c>
      <c r="D189" s="220">
        <v>0</v>
      </c>
    </row>
    <row r="190" spans="1:4" ht="25.5">
      <c r="A190" s="264" t="s">
        <v>702</v>
      </c>
      <c r="B190" s="266" t="s">
        <v>703</v>
      </c>
      <c r="C190" s="220">
        <v>0</v>
      </c>
      <c r="D190" s="220">
        <v>0</v>
      </c>
    </row>
    <row r="191" spans="1:4" ht="25.5">
      <c r="A191" s="264" t="s">
        <v>704</v>
      </c>
      <c r="B191" s="266" t="s">
        <v>705</v>
      </c>
      <c r="C191" s="220">
        <v>0</v>
      </c>
      <c r="D191" s="220">
        <v>0</v>
      </c>
    </row>
    <row r="192" spans="1:4" ht="25.5">
      <c r="A192" s="264" t="s">
        <v>706</v>
      </c>
      <c r="B192" s="266" t="s">
        <v>703</v>
      </c>
      <c r="C192" s="220">
        <v>0</v>
      </c>
      <c r="D192" s="220">
        <v>0</v>
      </c>
    </row>
    <row r="193" spans="1:4" ht="25.5">
      <c r="A193" s="264" t="s">
        <v>707</v>
      </c>
      <c r="B193" s="266" t="s">
        <v>708</v>
      </c>
      <c r="C193" s="220">
        <v>0</v>
      </c>
      <c r="D193" s="220">
        <v>0</v>
      </c>
    </row>
    <row r="194" spans="1:4">
      <c r="A194" s="259" t="s">
        <v>709</v>
      </c>
      <c r="B194" s="263" t="s">
        <v>710</v>
      </c>
      <c r="C194" s="220">
        <v>0</v>
      </c>
      <c r="D194" s="220">
        <v>0</v>
      </c>
    </row>
    <row r="195" spans="1:4">
      <c r="A195" s="259" t="s">
        <v>711</v>
      </c>
      <c r="B195" s="263" t="s">
        <v>712</v>
      </c>
      <c r="C195" s="220">
        <v>0</v>
      </c>
      <c r="D195" s="220">
        <v>0</v>
      </c>
    </row>
    <row r="196" spans="1:4">
      <c r="A196" s="259" t="s">
        <v>713</v>
      </c>
      <c r="B196" s="263" t="s">
        <v>714</v>
      </c>
      <c r="C196" s="220">
        <v>0</v>
      </c>
      <c r="D196" s="220">
        <v>0</v>
      </c>
    </row>
    <row r="197" spans="1:4">
      <c r="A197" s="259" t="s">
        <v>715</v>
      </c>
      <c r="B197" s="263" t="s">
        <v>716</v>
      </c>
      <c r="C197" s="220">
        <v>0</v>
      </c>
      <c r="D197" s="220">
        <v>0</v>
      </c>
    </row>
    <row r="198" spans="1:4" ht="25.5">
      <c r="A198" s="259" t="s">
        <v>717</v>
      </c>
      <c r="B198" s="263" t="s">
        <v>718</v>
      </c>
      <c r="C198" s="220">
        <v>0</v>
      </c>
      <c r="D198" s="220">
        <v>0</v>
      </c>
    </row>
    <row r="199" spans="1:4" ht="25.5">
      <c r="A199" s="259" t="s">
        <v>719</v>
      </c>
      <c r="B199" s="263" t="s">
        <v>720</v>
      </c>
      <c r="C199" s="220">
        <v>0</v>
      </c>
      <c r="D199" s="220">
        <v>0</v>
      </c>
    </row>
    <row r="200" spans="1:4" ht="25.5">
      <c r="A200" s="259" t="s">
        <v>721</v>
      </c>
      <c r="B200" s="263" t="s">
        <v>722</v>
      </c>
      <c r="C200" s="220">
        <v>0</v>
      </c>
      <c r="D200" s="220">
        <v>0</v>
      </c>
    </row>
    <row r="201" spans="1:4" ht="25.5">
      <c r="A201" s="259" t="s">
        <v>723</v>
      </c>
      <c r="B201" s="263" t="s">
        <v>724</v>
      </c>
      <c r="C201" s="220">
        <v>0</v>
      </c>
      <c r="D201" s="220">
        <v>0</v>
      </c>
    </row>
    <row r="202" spans="1:4" ht="25.5">
      <c r="A202" s="259" t="s">
        <v>725</v>
      </c>
      <c r="B202" s="263" t="s">
        <v>726</v>
      </c>
      <c r="C202" s="220">
        <v>0</v>
      </c>
      <c r="D202" s="220">
        <v>0</v>
      </c>
    </row>
    <row r="203" spans="1:4" ht="25.5">
      <c r="A203" s="259" t="s">
        <v>727</v>
      </c>
      <c r="B203" s="263" t="s">
        <v>728</v>
      </c>
      <c r="C203" s="220">
        <v>0</v>
      </c>
      <c r="D203" s="220">
        <v>0</v>
      </c>
    </row>
    <row r="204" spans="1:4" ht="25.5">
      <c r="A204" s="259" t="s">
        <v>729</v>
      </c>
      <c r="B204" s="263" t="s">
        <v>730</v>
      </c>
      <c r="C204" s="220">
        <v>0</v>
      </c>
      <c r="D204" s="220">
        <v>0</v>
      </c>
    </row>
    <row r="205" spans="1:4">
      <c r="A205" s="259" t="s">
        <v>731</v>
      </c>
      <c r="B205" s="263" t="s">
        <v>732</v>
      </c>
      <c r="C205" s="220">
        <v>0</v>
      </c>
      <c r="D205" s="220">
        <v>0</v>
      </c>
    </row>
    <row r="206" spans="1:4" ht="25.5">
      <c r="A206" s="259" t="s">
        <v>733</v>
      </c>
      <c r="B206" s="263" t="s">
        <v>734</v>
      </c>
      <c r="C206" s="220">
        <v>0</v>
      </c>
      <c r="D206" s="220">
        <v>0</v>
      </c>
    </row>
    <row r="207" spans="1:4">
      <c r="A207" s="259" t="s">
        <v>735</v>
      </c>
      <c r="B207" s="263" t="s">
        <v>736</v>
      </c>
      <c r="C207" s="220">
        <v>0</v>
      </c>
      <c r="D207" s="220">
        <v>0</v>
      </c>
    </row>
    <row r="208" spans="1:4" ht="25.5">
      <c r="A208" s="259" t="s">
        <v>737</v>
      </c>
      <c r="B208" s="263" t="s">
        <v>738</v>
      </c>
      <c r="C208" s="220">
        <v>2</v>
      </c>
      <c r="D208" s="220">
        <v>9</v>
      </c>
    </row>
    <row r="209" spans="1:4" ht="25.5">
      <c r="A209" s="259" t="s">
        <v>739</v>
      </c>
      <c r="B209" s="263" t="s">
        <v>740</v>
      </c>
      <c r="C209" s="220">
        <v>13</v>
      </c>
      <c r="D209" s="220">
        <v>16</v>
      </c>
    </row>
    <row r="210" spans="1:4">
      <c r="A210" s="259" t="s">
        <v>741</v>
      </c>
      <c r="B210" s="263" t="s">
        <v>742</v>
      </c>
      <c r="C210" s="220">
        <v>0</v>
      </c>
      <c r="D210" s="220">
        <v>0</v>
      </c>
    </row>
    <row r="211" spans="1:4">
      <c r="A211" s="259" t="s">
        <v>743</v>
      </c>
      <c r="B211" s="263" t="s">
        <v>744</v>
      </c>
      <c r="C211" s="220">
        <v>0</v>
      </c>
      <c r="D211" s="220">
        <v>0</v>
      </c>
    </row>
    <row r="212" spans="1:4" ht="25.5">
      <c r="A212" s="264" t="s">
        <v>745</v>
      </c>
      <c r="B212" s="266" t="s">
        <v>746</v>
      </c>
      <c r="C212" s="220">
        <v>5</v>
      </c>
      <c r="D212" s="220">
        <v>9</v>
      </c>
    </row>
    <row r="213" spans="1:4" ht="25.5">
      <c r="A213" s="264" t="s">
        <v>747</v>
      </c>
      <c r="B213" s="266" t="s">
        <v>748</v>
      </c>
      <c r="C213" s="220">
        <v>9</v>
      </c>
      <c r="D213" s="220">
        <v>25</v>
      </c>
    </row>
    <row r="214" spans="1:4" ht="25.5">
      <c r="A214" s="259" t="s">
        <v>749</v>
      </c>
      <c r="B214" s="263" t="s">
        <v>750</v>
      </c>
      <c r="C214" s="220">
        <v>0</v>
      </c>
      <c r="D214" s="220">
        <v>0</v>
      </c>
    </row>
    <row r="215" spans="1:4" ht="25.5">
      <c r="A215" s="259" t="s">
        <v>751</v>
      </c>
      <c r="B215" s="263" t="s">
        <v>752</v>
      </c>
      <c r="C215" s="220">
        <v>0</v>
      </c>
      <c r="D215" s="220">
        <v>0</v>
      </c>
    </row>
    <row r="216" spans="1:4" ht="25.5">
      <c r="A216" s="259" t="s">
        <v>753</v>
      </c>
      <c r="B216" s="263" t="s">
        <v>754</v>
      </c>
      <c r="C216" s="220">
        <v>0</v>
      </c>
      <c r="D216" s="220">
        <v>0</v>
      </c>
    </row>
    <row r="217" spans="1:4" ht="25.5">
      <c r="A217" s="259" t="s">
        <v>755</v>
      </c>
      <c r="B217" s="263" t="s">
        <v>756</v>
      </c>
      <c r="C217" s="220">
        <v>0</v>
      </c>
      <c r="D217" s="220">
        <v>0</v>
      </c>
    </row>
    <row r="218" spans="1:4" ht="25.5">
      <c r="A218" s="259" t="s">
        <v>757</v>
      </c>
      <c r="B218" s="263" t="s">
        <v>758</v>
      </c>
      <c r="C218" s="220">
        <v>0</v>
      </c>
      <c r="D218" s="220">
        <v>0</v>
      </c>
    </row>
    <row r="219" spans="1:4" ht="25.5">
      <c r="A219" s="264" t="s">
        <v>759</v>
      </c>
      <c r="B219" s="266" t="s">
        <v>760</v>
      </c>
      <c r="C219" s="220">
        <v>0</v>
      </c>
      <c r="D219" s="220">
        <v>0</v>
      </c>
    </row>
    <row r="220" spans="1:4" ht="25.5">
      <c r="A220" s="264" t="s">
        <v>761</v>
      </c>
      <c r="B220" s="266" t="s">
        <v>762</v>
      </c>
      <c r="C220" s="220">
        <v>0</v>
      </c>
      <c r="D220" s="220">
        <v>0</v>
      </c>
    </row>
    <row r="221" spans="1:4">
      <c r="A221" s="259" t="s">
        <v>763</v>
      </c>
      <c r="B221" s="267" t="s">
        <v>764</v>
      </c>
      <c r="C221" s="220">
        <v>0</v>
      </c>
      <c r="D221" s="220">
        <v>0</v>
      </c>
    </row>
    <row r="222" spans="1:4">
      <c r="A222" s="259" t="s">
        <v>765</v>
      </c>
      <c r="B222" s="267" t="s">
        <v>764</v>
      </c>
      <c r="C222" s="220">
        <v>0</v>
      </c>
      <c r="D222" s="220">
        <v>0</v>
      </c>
    </row>
    <row r="223" spans="1:4">
      <c r="A223" s="259" t="s">
        <v>766</v>
      </c>
      <c r="B223" s="267" t="s">
        <v>767</v>
      </c>
      <c r="C223" s="220">
        <v>0</v>
      </c>
      <c r="D223" s="220">
        <v>0</v>
      </c>
    </row>
    <row r="224" spans="1:4">
      <c r="A224" s="259" t="s">
        <v>768</v>
      </c>
      <c r="B224" s="267" t="s">
        <v>769</v>
      </c>
      <c r="C224" s="220">
        <v>0</v>
      </c>
      <c r="D224" s="220">
        <v>0</v>
      </c>
    </row>
    <row r="225" spans="1:4">
      <c r="A225" s="259" t="s">
        <v>770</v>
      </c>
      <c r="B225" s="263" t="s">
        <v>771</v>
      </c>
      <c r="C225" s="220">
        <v>0</v>
      </c>
      <c r="D225" s="220">
        <v>0</v>
      </c>
    </row>
    <row r="226" spans="1:4">
      <c r="A226" s="259" t="s">
        <v>772</v>
      </c>
      <c r="B226" s="263" t="s">
        <v>773</v>
      </c>
      <c r="C226" s="220">
        <v>0</v>
      </c>
      <c r="D226" s="220">
        <v>0</v>
      </c>
    </row>
    <row r="227" spans="1:4">
      <c r="A227" s="259" t="s">
        <v>774</v>
      </c>
      <c r="B227" s="263" t="s">
        <v>775</v>
      </c>
      <c r="C227" s="220">
        <v>1</v>
      </c>
      <c r="D227" s="220">
        <v>3</v>
      </c>
    </row>
    <row r="228" spans="1:4">
      <c r="A228" s="259" t="s">
        <v>776</v>
      </c>
      <c r="B228" s="263" t="s">
        <v>777</v>
      </c>
      <c r="C228" s="220">
        <v>5</v>
      </c>
      <c r="D228" s="220">
        <v>3</v>
      </c>
    </row>
    <row r="229" spans="1:4">
      <c r="A229" s="259" t="s">
        <v>778</v>
      </c>
      <c r="B229" s="263" t="s">
        <v>779</v>
      </c>
      <c r="C229" s="220">
        <v>0</v>
      </c>
      <c r="D229" s="220">
        <v>0</v>
      </c>
    </row>
    <row r="230" spans="1:4">
      <c r="A230" s="259" t="s">
        <v>780</v>
      </c>
      <c r="B230" s="263" t="s">
        <v>781</v>
      </c>
      <c r="C230" s="220">
        <v>0</v>
      </c>
      <c r="D230" s="220">
        <v>0</v>
      </c>
    </row>
    <row r="231" spans="1:4" ht="25.5">
      <c r="A231" s="259" t="s">
        <v>782</v>
      </c>
      <c r="B231" s="263" t="s">
        <v>783</v>
      </c>
      <c r="C231" s="220">
        <v>0</v>
      </c>
      <c r="D231" s="220">
        <v>0</v>
      </c>
    </row>
    <row r="232" spans="1:4" ht="25.5">
      <c r="A232" s="259" t="s">
        <v>784</v>
      </c>
      <c r="B232" s="263" t="s">
        <v>785</v>
      </c>
      <c r="C232" s="220">
        <v>0</v>
      </c>
      <c r="D232" s="220">
        <v>0</v>
      </c>
    </row>
    <row r="233" spans="1:4" ht="25.5">
      <c r="A233" s="259" t="s">
        <v>786</v>
      </c>
      <c r="B233" s="263" t="s">
        <v>787</v>
      </c>
      <c r="C233" s="220">
        <v>0</v>
      </c>
      <c r="D233" s="220">
        <v>0</v>
      </c>
    </row>
    <row r="234" spans="1:4" ht="25.5">
      <c r="A234" s="259" t="s">
        <v>788</v>
      </c>
      <c r="B234" s="263" t="s">
        <v>789</v>
      </c>
      <c r="C234" s="220">
        <v>0</v>
      </c>
      <c r="D234" s="220">
        <v>0</v>
      </c>
    </row>
    <row r="235" spans="1:4">
      <c r="A235" s="259" t="s">
        <v>790</v>
      </c>
      <c r="B235" s="263" t="s">
        <v>791</v>
      </c>
      <c r="C235" s="220">
        <v>0</v>
      </c>
      <c r="D235" s="220">
        <v>0</v>
      </c>
    </row>
    <row r="236" spans="1:4">
      <c r="A236" s="259" t="s">
        <v>792</v>
      </c>
      <c r="B236" s="263" t="s">
        <v>793</v>
      </c>
      <c r="C236" s="220">
        <v>0</v>
      </c>
      <c r="D236" s="220">
        <v>0</v>
      </c>
    </row>
    <row r="237" spans="1:4" ht="25.5">
      <c r="A237" s="259" t="s">
        <v>794</v>
      </c>
      <c r="B237" s="263" t="s">
        <v>795</v>
      </c>
      <c r="C237" s="220">
        <v>4</v>
      </c>
      <c r="D237" s="220">
        <v>0</v>
      </c>
    </row>
    <row r="238" spans="1:4" ht="25.5">
      <c r="A238" s="259" t="s">
        <v>796</v>
      </c>
      <c r="B238" s="263" t="s">
        <v>797</v>
      </c>
      <c r="C238" s="220">
        <v>60</v>
      </c>
      <c r="D238" s="220">
        <v>100</v>
      </c>
    </row>
    <row r="239" spans="1:4">
      <c r="A239" s="259" t="s">
        <v>798</v>
      </c>
      <c r="B239" s="263" t="s">
        <v>799</v>
      </c>
      <c r="C239" s="220">
        <v>0</v>
      </c>
      <c r="D239" s="220">
        <v>0</v>
      </c>
    </row>
    <row r="240" spans="1:4">
      <c r="A240" s="259" t="s">
        <v>800</v>
      </c>
      <c r="B240" s="263" t="s">
        <v>801</v>
      </c>
      <c r="C240" s="220">
        <v>0</v>
      </c>
      <c r="D240" s="220">
        <v>0</v>
      </c>
    </row>
    <row r="241" spans="1:4">
      <c r="A241" s="259" t="s">
        <v>802</v>
      </c>
      <c r="B241" s="263" t="s">
        <v>803</v>
      </c>
      <c r="C241" s="220">
        <v>11</v>
      </c>
      <c r="D241" s="220">
        <v>10</v>
      </c>
    </row>
    <row r="242" spans="1:4">
      <c r="A242" s="259" t="s">
        <v>804</v>
      </c>
      <c r="B242" s="263" t="s">
        <v>805</v>
      </c>
      <c r="C242" s="220">
        <v>114</v>
      </c>
      <c r="D242" s="220">
        <v>461</v>
      </c>
    </row>
    <row r="243" spans="1:4">
      <c r="A243" s="259" t="s">
        <v>806</v>
      </c>
      <c r="B243" s="263" t="s">
        <v>807</v>
      </c>
      <c r="C243" s="220">
        <v>6</v>
      </c>
      <c r="D243" s="220">
        <v>6</v>
      </c>
    </row>
    <row r="244" spans="1:4">
      <c r="A244" s="259" t="s">
        <v>808</v>
      </c>
      <c r="B244" s="263" t="s">
        <v>809</v>
      </c>
      <c r="C244" s="220">
        <v>55</v>
      </c>
      <c r="D244" s="220">
        <v>107</v>
      </c>
    </row>
    <row r="245" spans="1:4">
      <c r="A245" s="259" t="s">
        <v>810</v>
      </c>
      <c r="B245" s="263" t="s">
        <v>811</v>
      </c>
      <c r="C245" s="220">
        <v>4</v>
      </c>
      <c r="D245" s="220">
        <v>4</v>
      </c>
    </row>
    <row r="246" spans="1:4">
      <c r="A246" s="259" t="s">
        <v>812</v>
      </c>
      <c r="B246" s="263" t="s">
        <v>813</v>
      </c>
      <c r="C246" s="220">
        <v>40</v>
      </c>
      <c r="D246" s="220">
        <v>78</v>
      </c>
    </row>
    <row r="247" spans="1:4">
      <c r="A247" s="259" t="s">
        <v>814</v>
      </c>
      <c r="B247" s="263" t="s">
        <v>815</v>
      </c>
      <c r="C247" s="220">
        <v>4</v>
      </c>
      <c r="D247" s="220">
        <v>12</v>
      </c>
    </row>
    <row r="248" spans="1:4">
      <c r="A248" s="259" t="s">
        <v>816</v>
      </c>
      <c r="B248" s="263" t="s">
        <v>817</v>
      </c>
      <c r="C248" s="220">
        <v>69</v>
      </c>
      <c r="D248" s="220">
        <v>194</v>
      </c>
    </row>
    <row r="249" spans="1:4">
      <c r="A249" s="259" t="s">
        <v>818</v>
      </c>
      <c r="B249" s="263" t="s">
        <v>819</v>
      </c>
      <c r="C249" s="220">
        <v>8</v>
      </c>
      <c r="D249" s="220">
        <v>5</v>
      </c>
    </row>
    <row r="250" spans="1:4">
      <c r="A250" s="259" t="s">
        <v>820</v>
      </c>
      <c r="B250" s="263" t="s">
        <v>821</v>
      </c>
      <c r="C250" s="220">
        <v>71</v>
      </c>
      <c r="D250" s="220">
        <v>31</v>
      </c>
    </row>
    <row r="251" spans="1:4">
      <c r="A251" s="259" t="s">
        <v>822</v>
      </c>
      <c r="B251" s="263" t="s">
        <v>823</v>
      </c>
      <c r="C251" s="220">
        <v>22</v>
      </c>
      <c r="D251" s="220">
        <v>150</v>
      </c>
    </row>
    <row r="252" spans="1:4">
      <c r="A252" s="259" t="s">
        <v>824</v>
      </c>
      <c r="B252" s="263" t="s">
        <v>825</v>
      </c>
      <c r="C252" s="220">
        <v>134</v>
      </c>
      <c r="D252" s="220">
        <v>2109</v>
      </c>
    </row>
    <row r="253" spans="1:4">
      <c r="A253" s="259" t="s">
        <v>826</v>
      </c>
      <c r="B253" s="263" t="s">
        <v>827</v>
      </c>
      <c r="C253" s="220">
        <v>0</v>
      </c>
      <c r="D253" s="220">
        <v>0</v>
      </c>
    </row>
    <row r="254" spans="1:4">
      <c r="A254" s="259" t="s">
        <v>828</v>
      </c>
      <c r="B254" s="263" t="s">
        <v>829</v>
      </c>
      <c r="C254" s="220">
        <v>0</v>
      </c>
      <c r="D254" s="220">
        <v>1</v>
      </c>
    </row>
    <row r="255" spans="1:4">
      <c r="A255" s="259" t="s">
        <v>830</v>
      </c>
      <c r="B255" s="263" t="s">
        <v>831</v>
      </c>
      <c r="C255" s="220">
        <v>3</v>
      </c>
      <c r="D255" s="220">
        <v>0</v>
      </c>
    </row>
    <row r="256" spans="1:4">
      <c r="A256" s="259" t="s">
        <v>832</v>
      </c>
      <c r="B256" s="263" t="s">
        <v>833</v>
      </c>
      <c r="C256" s="220">
        <v>17</v>
      </c>
      <c r="D256" s="220">
        <v>22</v>
      </c>
    </row>
    <row r="257" spans="1:4">
      <c r="A257" s="259" t="s">
        <v>834</v>
      </c>
      <c r="B257" s="267" t="s">
        <v>835</v>
      </c>
      <c r="C257" s="220">
        <v>4</v>
      </c>
      <c r="D257" s="220">
        <v>40</v>
      </c>
    </row>
    <row r="258" spans="1:4">
      <c r="A258" s="259" t="s">
        <v>836</v>
      </c>
      <c r="B258" s="267" t="s">
        <v>837</v>
      </c>
      <c r="C258" s="220">
        <v>23</v>
      </c>
      <c r="D258" s="220">
        <v>452</v>
      </c>
    </row>
    <row r="259" spans="1:4">
      <c r="A259" s="259" t="s">
        <v>838</v>
      </c>
      <c r="B259" s="267" t="s">
        <v>839</v>
      </c>
      <c r="C259" s="220">
        <v>3</v>
      </c>
      <c r="D259" s="220">
        <v>3</v>
      </c>
    </row>
    <row r="260" spans="1:4">
      <c r="A260" s="259" t="s">
        <v>840</v>
      </c>
      <c r="B260" s="267" t="s">
        <v>841</v>
      </c>
      <c r="C260" s="220">
        <v>23</v>
      </c>
      <c r="D260" s="220">
        <v>101</v>
      </c>
    </row>
    <row r="261" spans="1:4">
      <c r="A261" s="259" t="s">
        <v>842</v>
      </c>
      <c r="B261" s="263" t="s">
        <v>843</v>
      </c>
      <c r="C261" s="220">
        <v>29</v>
      </c>
      <c r="D261" s="220">
        <v>252</v>
      </c>
    </row>
    <row r="262" spans="1:4">
      <c r="A262" s="259" t="s">
        <v>844</v>
      </c>
      <c r="B262" s="263" t="s">
        <v>845</v>
      </c>
      <c r="C262" s="220">
        <v>4</v>
      </c>
      <c r="D262" s="220">
        <v>5</v>
      </c>
    </row>
    <row r="263" spans="1:4">
      <c r="A263" s="259" t="s">
        <v>846</v>
      </c>
      <c r="B263" s="267" t="s">
        <v>847</v>
      </c>
      <c r="C263" s="220">
        <v>29</v>
      </c>
      <c r="D263" s="220">
        <v>8</v>
      </c>
    </row>
    <row r="264" spans="1:4">
      <c r="A264" s="259" t="s">
        <v>848</v>
      </c>
      <c r="B264" s="267" t="s">
        <v>849</v>
      </c>
      <c r="C264" s="220">
        <v>22</v>
      </c>
      <c r="D264" s="220">
        <v>25</v>
      </c>
    </row>
    <row r="265" spans="1:4">
      <c r="A265" s="259" t="s">
        <v>850</v>
      </c>
      <c r="B265" s="267" t="s">
        <v>851</v>
      </c>
      <c r="C265" s="220">
        <v>27</v>
      </c>
      <c r="D265" s="220">
        <v>8</v>
      </c>
    </row>
    <row r="266" spans="1:4">
      <c r="A266" s="259" t="s">
        <v>852</v>
      </c>
      <c r="B266" s="267" t="s">
        <v>853</v>
      </c>
      <c r="C266" s="220">
        <v>134</v>
      </c>
      <c r="D266" s="220">
        <v>653</v>
      </c>
    </row>
    <row r="267" spans="1:4" ht="18.75">
      <c r="A267" s="258">
        <v>6</v>
      </c>
      <c r="B267" s="265" t="s">
        <v>854</v>
      </c>
      <c r="C267" s="257">
        <v>0</v>
      </c>
      <c r="D267" s="257">
        <v>0</v>
      </c>
    </row>
    <row r="268" spans="1:4">
      <c r="A268" s="259" t="s">
        <v>855</v>
      </c>
      <c r="B268" s="267" t="s">
        <v>856</v>
      </c>
      <c r="C268" s="220">
        <v>0</v>
      </c>
      <c r="D268" s="220">
        <v>1</v>
      </c>
    </row>
    <row r="269" spans="1:4">
      <c r="A269" s="259" t="s">
        <v>857</v>
      </c>
      <c r="B269" s="267" t="s">
        <v>858</v>
      </c>
      <c r="C269" s="220">
        <v>6</v>
      </c>
      <c r="D269" s="220">
        <v>27</v>
      </c>
    </row>
    <row r="270" spans="1:4">
      <c r="A270" s="259" t="s">
        <v>859</v>
      </c>
      <c r="B270" s="263" t="s">
        <v>860</v>
      </c>
      <c r="C270" s="220">
        <v>3</v>
      </c>
      <c r="D270" s="220">
        <v>8</v>
      </c>
    </row>
    <row r="271" spans="1:4">
      <c r="A271" s="259" t="s">
        <v>861</v>
      </c>
      <c r="B271" s="263" t="s">
        <v>862</v>
      </c>
      <c r="C271" s="220">
        <v>32</v>
      </c>
      <c r="D271" s="220">
        <v>68</v>
      </c>
    </row>
    <row r="272" spans="1:4">
      <c r="A272" s="259" t="s">
        <v>863</v>
      </c>
      <c r="B272" s="263" t="s">
        <v>864</v>
      </c>
      <c r="C272" s="220">
        <v>4</v>
      </c>
      <c r="D272" s="220">
        <v>21</v>
      </c>
    </row>
    <row r="273" spans="1:4" ht="25.5">
      <c r="A273" s="259" t="s">
        <v>865</v>
      </c>
      <c r="B273" s="263" t="s">
        <v>866</v>
      </c>
      <c r="C273" s="220">
        <v>2</v>
      </c>
      <c r="D273" s="220">
        <v>3</v>
      </c>
    </row>
    <row r="274" spans="1:4" ht="25.5">
      <c r="A274" s="259" t="s">
        <v>867</v>
      </c>
      <c r="B274" s="263" t="s">
        <v>868</v>
      </c>
      <c r="C274" s="220">
        <v>4</v>
      </c>
      <c r="D274" s="220">
        <v>11</v>
      </c>
    </row>
    <row r="275" spans="1:4">
      <c r="A275" s="259" t="s">
        <v>869</v>
      </c>
      <c r="B275" s="263" t="s">
        <v>870</v>
      </c>
      <c r="C275" s="220">
        <v>0</v>
      </c>
      <c r="D275" s="220">
        <v>2</v>
      </c>
    </row>
    <row r="276" spans="1:4">
      <c r="A276" s="259" t="s">
        <v>871</v>
      </c>
      <c r="B276" s="267" t="s">
        <v>872</v>
      </c>
      <c r="C276" s="220">
        <v>1</v>
      </c>
      <c r="D276" s="220">
        <v>1</v>
      </c>
    </row>
    <row r="277" spans="1:4">
      <c r="A277" s="259" t="s">
        <v>873</v>
      </c>
      <c r="B277" s="267" t="s">
        <v>874</v>
      </c>
      <c r="C277" s="220">
        <v>3</v>
      </c>
      <c r="D277" s="220">
        <v>12</v>
      </c>
    </row>
    <row r="278" spans="1:4">
      <c r="A278" s="259" t="s">
        <v>875</v>
      </c>
      <c r="B278" s="267" t="s">
        <v>876</v>
      </c>
      <c r="C278" s="220">
        <v>1</v>
      </c>
      <c r="D278" s="220">
        <v>0</v>
      </c>
    </row>
    <row r="279" spans="1:4">
      <c r="A279" s="259" t="s">
        <v>877</v>
      </c>
      <c r="B279" s="267" t="s">
        <v>878</v>
      </c>
      <c r="C279" s="220">
        <v>0</v>
      </c>
      <c r="D279" s="220">
        <v>1</v>
      </c>
    </row>
    <row r="280" spans="1:4">
      <c r="A280" s="259" t="s">
        <v>879</v>
      </c>
      <c r="B280" s="267" t="s">
        <v>880</v>
      </c>
      <c r="C280" s="220">
        <v>4</v>
      </c>
      <c r="D280" s="220">
        <v>11</v>
      </c>
    </row>
    <row r="281" spans="1:4">
      <c r="A281" s="259" t="s">
        <v>881</v>
      </c>
      <c r="B281" s="267" t="s">
        <v>882</v>
      </c>
      <c r="C281" s="220">
        <v>0</v>
      </c>
      <c r="D281" s="220">
        <v>0</v>
      </c>
    </row>
    <row r="282" spans="1:4">
      <c r="A282" s="259" t="s">
        <v>883</v>
      </c>
      <c r="B282" s="267" t="s">
        <v>884</v>
      </c>
      <c r="C282" s="220">
        <v>5</v>
      </c>
      <c r="D282" s="220">
        <v>20</v>
      </c>
    </row>
    <row r="283" spans="1:4">
      <c r="A283" s="259" t="s">
        <v>885</v>
      </c>
      <c r="B283" s="263" t="s">
        <v>886</v>
      </c>
      <c r="C283" s="220">
        <v>7</v>
      </c>
      <c r="D283" s="220">
        <v>26</v>
      </c>
    </row>
    <row r="284" spans="1:4">
      <c r="A284" s="264" t="s">
        <v>887</v>
      </c>
      <c r="B284" s="266" t="s">
        <v>888</v>
      </c>
      <c r="C284" s="220">
        <v>3</v>
      </c>
      <c r="D284" s="220">
        <v>26</v>
      </c>
    </row>
    <row r="285" spans="1:4">
      <c r="A285" s="264" t="s">
        <v>889</v>
      </c>
      <c r="B285" s="266" t="s">
        <v>890</v>
      </c>
      <c r="C285" s="220">
        <v>132</v>
      </c>
      <c r="D285" s="220">
        <v>386</v>
      </c>
    </row>
    <row r="286" spans="1:4">
      <c r="A286" s="259" t="s">
        <v>891</v>
      </c>
      <c r="B286" s="266" t="s">
        <v>892</v>
      </c>
      <c r="C286" s="220">
        <v>4</v>
      </c>
      <c r="D286" s="220">
        <v>29</v>
      </c>
    </row>
    <row r="287" spans="1:4">
      <c r="A287" s="259" t="s">
        <v>893</v>
      </c>
      <c r="B287" s="263" t="s">
        <v>894</v>
      </c>
      <c r="C287" s="220">
        <v>0</v>
      </c>
      <c r="D287" s="220">
        <v>2</v>
      </c>
    </row>
    <row r="288" spans="1:4">
      <c r="A288" s="259" t="s">
        <v>895</v>
      </c>
      <c r="B288" s="263" t="s">
        <v>896</v>
      </c>
      <c r="C288" s="220">
        <v>3</v>
      </c>
      <c r="D288" s="220">
        <v>2</v>
      </c>
    </row>
    <row r="289" spans="1:4">
      <c r="A289" s="259" t="s">
        <v>897</v>
      </c>
      <c r="B289" s="263" t="s">
        <v>898</v>
      </c>
      <c r="C289" s="220">
        <v>1</v>
      </c>
      <c r="D289" s="220">
        <v>5</v>
      </c>
    </row>
    <row r="290" spans="1:4">
      <c r="A290" s="259" t="s">
        <v>899</v>
      </c>
      <c r="B290" s="263" t="s">
        <v>900</v>
      </c>
      <c r="C290" s="220">
        <v>3</v>
      </c>
      <c r="D290" s="220">
        <v>1</v>
      </c>
    </row>
    <row r="291" spans="1:4">
      <c r="A291" s="259" t="s">
        <v>901</v>
      </c>
      <c r="B291" s="263" t="s">
        <v>902</v>
      </c>
      <c r="C291" s="220">
        <v>0</v>
      </c>
      <c r="D291" s="220">
        <v>1</v>
      </c>
    </row>
    <row r="292" spans="1:4">
      <c r="A292" s="259" t="s">
        <v>903</v>
      </c>
      <c r="B292" s="263" t="s">
        <v>904</v>
      </c>
      <c r="C292" s="220">
        <v>0</v>
      </c>
      <c r="D292" s="220">
        <v>0</v>
      </c>
    </row>
    <row r="293" spans="1:4">
      <c r="A293" s="259" t="s">
        <v>905</v>
      </c>
      <c r="B293" s="263" t="s">
        <v>906</v>
      </c>
      <c r="C293" s="220">
        <v>0</v>
      </c>
      <c r="D293" s="220">
        <v>0</v>
      </c>
    </row>
    <row r="294" spans="1:4">
      <c r="A294" s="259" t="s">
        <v>907</v>
      </c>
      <c r="B294" s="263" t="s">
        <v>908</v>
      </c>
      <c r="C294" s="220">
        <v>0</v>
      </c>
      <c r="D294" s="220">
        <v>72</v>
      </c>
    </row>
    <row r="295" spans="1:4">
      <c r="A295" s="259" t="s">
        <v>909</v>
      </c>
      <c r="B295" s="263" t="s">
        <v>910</v>
      </c>
      <c r="C295" s="220">
        <v>0</v>
      </c>
      <c r="D295" s="220">
        <v>40</v>
      </c>
    </row>
    <row r="296" spans="1:4">
      <c r="A296" s="259" t="s">
        <v>911</v>
      </c>
      <c r="B296" s="263" t="s">
        <v>912</v>
      </c>
      <c r="C296" s="220">
        <v>0</v>
      </c>
      <c r="D296" s="220">
        <v>0</v>
      </c>
    </row>
    <row r="297" spans="1:4">
      <c r="A297" s="259" t="s">
        <v>913</v>
      </c>
      <c r="B297" s="263" t="s">
        <v>914</v>
      </c>
      <c r="C297" s="220">
        <v>0</v>
      </c>
      <c r="D297" s="220">
        <v>0</v>
      </c>
    </row>
    <row r="298" spans="1:4">
      <c r="A298" s="259" t="s">
        <v>915</v>
      </c>
      <c r="B298" s="263" t="s">
        <v>916</v>
      </c>
      <c r="C298" s="220">
        <v>0</v>
      </c>
      <c r="D298" s="220">
        <v>0</v>
      </c>
    </row>
    <row r="299" spans="1:4">
      <c r="A299" s="259" t="s">
        <v>917</v>
      </c>
      <c r="B299" s="263" t="s">
        <v>918</v>
      </c>
      <c r="C299" s="220">
        <v>0</v>
      </c>
      <c r="D299" s="220">
        <v>8</v>
      </c>
    </row>
    <row r="300" spans="1:4">
      <c r="A300" s="259" t="s">
        <v>919</v>
      </c>
      <c r="B300" s="263" t="s">
        <v>920</v>
      </c>
      <c r="C300" s="220">
        <v>42</v>
      </c>
      <c r="D300" s="220">
        <v>165</v>
      </c>
    </row>
    <row r="301" spans="1:4">
      <c r="A301" s="259" t="s">
        <v>921</v>
      </c>
      <c r="B301" s="263" t="s">
        <v>922</v>
      </c>
      <c r="C301" s="220">
        <v>4</v>
      </c>
      <c r="D301" s="220">
        <v>46</v>
      </c>
    </row>
    <row r="302" spans="1:4">
      <c r="A302" s="259" t="s">
        <v>923</v>
      </c>
      <c r="B302" s="263" t="s">
        <v>924</v>
      </c>
      <c r="C302" s="220">
        <v>25</v>
      </c>
      <c r="D302" s="220">
        <v>151</v>
      </c>
    </row>
    <row r="303" spans="1:4">
      <c r="A303" s="259" t="s">
        <v>925</v>
      </c>
      <c r="B303" s="263" t="s">
        <v>926</v>
      </c>
      <c r="C303" s="220">
        <v>0</v>
      </c>
      <c r="D303" s="220">
        <v>17</v>
      </c>
    </row>
    <row r="304" spans="1:4">
      <c r="A304" s="259" t="s">
        <v>927</v>
      </c>
      <c r="B304" s="263" t="s">
        <v>928</v>
      </c>
      <c r="C304" s="220">
        <v>9</v>
      </c>
      <c r="D304" s="220">
        <v>83</v>
      </c>
    </row>
    <row r="305" spans="1:4">
      <c r="A305" s="259" t="s">
        <v>929</v>
      </c>
      <c r="B305" s="263" t="s">
        <v>930</v>
      </c>
      <c r="C305" s="220">
        <v>1</v>
      </c>
      <c r="D305" s="220">
        <v>3</v>
      </c>
    </row>
    <row r="306" spans="1:4">
      <c r="A306" s="259" t="s">
        <v>931</v>
      </c>
      <c r="B306" s="263" t="s">
        <v>932</v>
      </c>
      <c r="C306" s="220">
        <v>2</v>
      </c>
      <c r="D306" s="220">
        <v>25</v>
      </c>
    </row>
    <row r="307" spans="1:4">
      <c r="A307" s="259" t="s">
        <v>933</v>
      </c>
      <c r="B307" s="267" t="s">
        <v>934</v>
      </c>
      <c r="C307" s="220">
        <v>7</v>
      </c>
      <c r="D307" s="220">
        <v>27</v>
      </c>
    </row>
    <row r="308" spans="1:4">
      <c r="A308" s="259" t="s">
        <v>935</v>
      </c>
      <c r="B308" s="267" t="s">
        <v>936</v>
      </c>
      <c r="C308" s="220">
        <v>11</v>
      </c>
      <c r="D308" s="220">
        <v>105</v>
      </c>
    </row>
    <row r="309" spans="1:4">
      <c r="A309" s="259" t="s">
        <v>937</v>
      </c>
      <c r="B309" s="267" t="s">
        <v>938</v>
      </c>
      <c r="C309" s="220">
        <v>93</v>
      </c>
      <c r="D309" s="220">
        <v>501</v>
      </c>
    </row>
    <row r="310" spans="1:4" ht="25.5">
      <c r="A310" s="259" t="s">
        <v>939</v>
      </c>
      <c r="B310" s="267" t="s">
        <v>940</v>
      </c>
      <c r="C310" s="220">
        <v>6</v>
      </c>
      <c r="D310" s="220">
        <v>44</v>
      </c>
    </row>
    <row r="311" spans="1:4" ht="25.5">
      <c r="A311" s="259" t="s">
        <v>941</v>
      </c>
      <c r="B311" s="267" t="s">
        <v>942</v>
      </c>
      <c r="C311" s="220">
        <v>100</v>
      </c>
      <c r="D311" s="220">
        <v>1235</v>
      </c>
    </row>
    <row r="312" spans="1:4">
      <c r="A312" s="259" t="s">
        <v>943</v>
      </c>
      <c r="B312" s="267" t="s">
        <v>944</v>
      </c>
      <c r="C312" s="220">
        <v>12</v>
      </c>
      <c r="D312" s="220">
        <v>206</v>
      </c>
    </row>
    <row r="313" spans="1:4">
      <c r="A313" s="259" t="s">
        <v>945</v>
      </c>
      <c r="B313" s="267" t="s">
        <v>946</v>
      </c>
      <c r="C313" s="220">
        <v>197</v>
      </c>
      <c r="D313" s="220">
        <v>1082</v>
      </c>
    </row>
    <row r="314" spans="1:4" ht="18.75">
      <c r="A314" s="258">
        <v>7</v>
      </c>
      <c r="B314" s="265" t="s">
        <v>947</v>
      </c>
      <c r="C314" s="257">
        <v>0</v>
      </c>
      <c r="D314" s="257">
        <v>0</v>
      </c>
    </row>
    <row r="315" spans="1:4">
      <c r="A315" s="259" t="s">
        <v>948</v>
      </c>
      <c r="B315" s="267" t="s">
        <v>949</v>
      </c>
      <c r="C315" s="220">
        <v>0</v>
      </c>
      <c r="D315" s="220">
        <v>0</v>
      </c>
    </row>
    <row r="316" spans="1:4">
      <c r="A316" s="259" t="s">
        <v>950</v>
      </c>
      <c r="B316" s="267" t="s">
        <v>951</v>
      </c>
      <c r="C316" s="220">
        <v>0</v>
      </c>
      <c r="D316" s="220">
        <v>0</v>
      </c>
    </row>
    <row r="317" spans="1:4">
      <c r="A317" s="259" t="s">
        <v>952</v>
      </c>
      <c r="B317" s="267" t="s">
        <v>953</v>
      </c>
      <c r="C317" s="220">
        <v>1</v>
      </c>
      <c r="D317" s="220">
        <v>0</v>
      </c>
    </row>
    <row r="318" spans="1:4">
      <c r="A318" s="259" t="s">
        <v>954</v>
      </c>
      <c r="B318" s="267" t="s">
        <v>955</v>
      </c>
      <c r="C318" s="220">
        <v>0</v>
      </c>
      <c r="D318" s="220">
        <v>0</v>
      </c>
    </row>
    <row r="319" spans="1:4">
      <c r="A319" s="259" t="s">
        <v>956</v>
      </c>
      <c r="B319" s="267" t="s">
        <v>957</v>
      </c>
      <c r="C319" s="220">
        <v>0</v>
      </c>
      <c r="D319" s="220">
        <v>3</v>
      </c>
    </row>
    <row r="320" spans="1:4">
      <c r="A320" s="259" t="s">
        <v>958</v>
      </c>
      <c r="B320" s="267" t="s">
        <v>959</v>
      </c>
      <c r="C320" s="220">
        <v>0</v>
      </c>
      <c r="D320" s="220">
        <v>0</v>
      </c>
    </row>
    <row r="321" spans="1:4">
      <c r="A321" s="259" t="s">
        <v>960</v>
      </c>
      <c r="B321" s="267" t="s">
        <v>961</v>
      </c>
      <c r="C321" s="220">
        <v>3</v>
      </c>
      <c r="D321" s="220">
        <v>7</v>
      </c>
    </row>
    <row r="322" spans="1:4">
      <c r="A322" s="259" t="s">
        <v>962</v>
      </c>
      <c r="B322" s="266" t="s">
        <v>963</v>
      </c>
      <c r="C322" s="220">
        <v>1</v>
      </c>
      <c r="D322" s="220">
        <v>0</v>
      </c>
    </row>
    <row r="323" spans="1:4">
      <c r="A323" s="259" t="s">
        <v>964</v>
      </c>
      <c r="B323" s="266" t="s">
        <v>965</v>
      </c>
      <c r="C323" s="220">
        <v>0</v>
      </c>
      <c r="D323" s="220">
        <v>2</v>
      </c>
    </row>
    <row r="324" spans="1:4" ht="25.5">
      <c r="A324" s="259" t="s">
        <v>966</v>
      </c>
      <c r="B324" s="267" t="s">
        <v>967</v>
      </c>
      <c r="C324" s="220">
        <v>1</v>
      </c>
      <c r="D324" s="220">
        <v>3</v>
      </c>
    </row>
    <row r="325" spans="1:4" ht="25.5">
      <c r="A325" s="259" t="s">
        <v>968</v>
      </c>
      <c r="B325" s="267" t="s">
        <v>969</v>
      </c>
      <c r="C325" s="220">
        <v>7</v>
      </c>
      <c r="D325" s="220">
        <v>15</v>
      </c>
    </row>
    <row r="326" spans="1:4" ht="25.5">
      <c r="A326" s="259" t="s">
        <v>970</v>
      </c>
      <c r="B326" s="267" t="s">
        <v>971</v>
      </c>
      <c r="C326" s="220">
        <v>0</v>
      </c>
      <c r="D326" s="220">
        <v>0</v>
      </c>
    </row>
    <row r="327" spans="1:4" ht="25.5">
      <c r="A327" s="259" t="s">
        <v>972</v>
      </c>
      <c r="B327" s="267" t="s">
        <v>973</v>
      </c>
      <c r="C327" s="220">
        <v>35</v>
      </c>
      <c r="D327" s="220">
        <v>169</v>
      </c>
    </row>
    <row r="328" spans="1:4">
      <c r="A328" s="259" t="s">
        <v>974</v>
      </c>
      <c r="B328" s="266" t="s">
        <v>975</v>
      </c>
      <c r="C328" s="220">
        <v>0</v>
      </c>
      <c r="D328" s="220">
        <v>0</v>
      </c>
    </row>
    <row r="329" spans="1:4">
      <c r="A329" s="259" t="s">
        <v>976</v>
      </c>
      <c r="B329" s="266" t="s">
        <v>977</v>
      </c>
      <c r="C329" s="220">
        <v>0</v>
      </c>
      <c r="D329" s="220">
        <v>0</v>
      </c>
    </row>
    <row r="330" spans="1:4">
      <c r="A330" s="259" t="s">
        <v>978</v>
      </c>
      <c r="B330" s="267" t="s">
        <v>979</v>
      </c>
      <c r="C330" s="220">
        <v>0</v>
      </c>
      <c r="D330" s="220">
        <v>0</v>
      </c>
    </row>
    <row r="331" spans="1:4">
      <c r="A331" s="259" t="s">
        <v>980</v>
      </c>
      <c r="B331" s="267" t="s">
        <v>981</v>
      </c>
      <c r="C331" s="220">
        <v>0</v>
      </c>
      <c r="D331" s="220">
        <v>0</v>
      </c>
    </row>
    <row r="332" spans="1:4">
      <c r="A332" s="259" t="s">
        <v>982</v>
      </c>
      <c r="B332" s="263" t="s">
        <v>983</v>
      </c>
      <c r="C332" s="220">
        <v>0</v>
      </c>
      <c r="D332" s="220">
        <v>3</v>
      </c>
    </row>
    <row r="333" spans="1:4">
      <c r="A333" s="259" t="s">
        <v>984</v>
      </c>
      <c r="B333" s="263" t="s">
        <v>985</v>
      </c>
      <c r="C333" s="220">
        <v>8</v>
      </c>
      <c r="D333" s="220">
        <v>9</v>
      </c>
    </row>
    <row r="334" spans="1:4">
      <c r="A334" s="259" t="s">
        <v>986</v>
      </c>
      <c r="B334" s="263" t="s">
        <v>987</v>
      </c>
      <c r="C334" s="220">
        <v>2</v>
      </c>
      <c r="D334" s="220">
        <v>21</v>
      </c>
    </row>
    <row r="335" spans="1:4" ht="25.5">
      <c r="A335" s="259" t="s">
        <v>988</v>
      </c>
      <c r="B335" s="263" t="s">
        <v>989</v>
      </c>
      <c r="C335" s="220">
        <v>2</v>
      </c>
      <c r="D335" s="220">
        <v>15</v>
      </c>
    </row>
    <row r="336" spans="1:4" ht="25.5">
      <c r="A336" s="259" t="s">
        <v>990</v>
      </c>
      <c r="B336" s="263" t="s">
        <v>991</v>
      </c>
      <c r="C336" s="220">
        <v>19</v>
      </c>
      <c r="D336" s="220">
        <v>47</v>
      </c>
    </row>
    <row r="337" spans="1:4">
      <c r="A337" s="259" t="s">
        <v>992</v>
      </c>
      <c r="B337" s="263" t="s">
        <v>993</v>
      </c>
      <c r="C337" s="220">
        <v>1</v>
      </c>
      <c r="D337" s="220">
        <v>21</v>
      </c>
    </row>
    <row r="338" spans="1:4">
      <c r="A338" s="259" t="s">
        <v>994</v>
      </c>
      <c r="B338" s="263" t="s">
        <v>995</v>
      </c>
      <c r="C338" s="220">
        <v>29</v>
      </c>
      <c r="D338" s="220">
        <v>127</v>
      </c>
    </row>
    <row r="339" spans="1:4" ht="25.5">
      <c r="A339" s="259" t="s">
        <v>996</v>
      </c>
      <c r="B339" s="263" t="s">
        <v>997</v>
      </c>
      <c r="C339" s="220">
        <v>5</v>
      </c>
      <c r="D339" s="220">
        <v>17</v>
      </c>
    </row>
    <row r="340" spans="1:4" ht="25.5">
      <c r="A340" s="259" t="s">
        <v>998</v>
      </c>
      <c r="B340" s="263" t="s">
        <v>999</v>
      </c>
      <c r="C340" s="220">
        <v>23</v>
      </c>
      <c r="D340" s="220">
        <v>109</v>
      </c>
    </row>
    <row r="341" spans="1:4">
      <c r="A341" s="259" t="s">
        <v>1000</v>
      </c>
      <c r="B341" s="263" t="s">
        <v>1001</v>
      </c>
      <c r="C341" s="220">
        <v>35</v>
      </c>
      <c r="D341" s="220">
        <v>150</v>
      </c>
    </row>
    <row r="342" spans="1:4">
      <c r="A342" s="259" t="s">
        <v>1002</v>
      </c>
      <c r="B342" s="263" t="s">
        <v>1003</v>
      </c>
      <c r="C342" s="220">
        <v>115</v>
      </c>
      <c r="D342" s="220">
        <v>529</v>
      </c>
    </row>
    <row r="343" spans="1:4" ht="37.5">
      <c r="A343" s="258">
        <v>8</v>
      </c>
      <c r="B343" s="265" t="s">
        <v>1004</v>
      </c>
      <c r="C343" s="257">
        <v>0</v>
      </c>
      <c r="D343" s="257">
        <v>0</v>
      </c>
    </row>
    <row r="344" spans="1:4" ht="25.5">
      <c r="A344" s="268" t="s">
        <v>1005</v>
      </c>
      <c r="B344" s="266" t="s">
        <v>1006</v>
      </c>
      <c r="C344" s="220">
        <v>1</v>
      </c>
      <c r="D344" s="220">
        <v>3</v>
      </c>
    </row>
    <row r="345" spans="1:4" ht="25.5">
      <c r="A345" s="268" t="s">
        <v>1007</v>
      </c>
      <c r="B345" s="266" t="s">
        <v>1008</v>
      </c>
      <c r="C345" s="220">
        <v>0</v>
      </c>
      <c r="D345" s="220">
        <v>1</v>
      </c>
    </row>
    <row r="346" spans="1:4">
      <c r="A346" s="259" t="s">
        <v>1009</v>
      </c>
      <c r="B346" s="263" t="s">
        <v>1010</v>
      </c>
      <c r="C346" s="220">
        <v>0</v>
      </c>
      <c r="D346" s="220">
        <v>0</v>
      </c>
    </row>
    <row r="347" spans="1:4">
      <c r="A347" s="259" t="s">
        <v>1011</v>
      </c>
      <c r="B347" s="263" t="s">
        <v>1012</v>
      </c>
      <c r="C347" s="220">
        <v>0</v>
      </c>
      <c r="D347" s="220">
        <v>0</v>
      </c>
    </row>
    <row r="348" spans="1:4">
      <c r="A348" s="264" t="s">
        <v>1013</v>
      </c>
      <c r="B348" s="266" t="s">
        <v>1014</v>
      </c>
      <c r="C348" s="220">
        <v>0</v>
      </c>
      <c r="D348" s="220">
        <v>2</v>
      </c>
    </row>
    <row r="349" spans="1:4">
      <c r="A349" s="264" t="s">
        <v>1015</v>
      </c>
      <c r="B349" s="266" t="s">
        <v>1016</v>
      </c>
      <c r="C349" s="220">
        <v>138</v>
      </c>
      <c r="D349" s="220">
        <v>352</v>
      </c>
    </row>
    <row r="350" spans="1:4">
      <c r="A350" s="264" t="s">
        <v>1017</v>
      </c>
      <c r="B350" s="266" t="s">
        <v>1018</v>
      </c>
      <c r="C350" s="220">
        <v>86</v>
      </c>
      <c r="D350" s="220">
        <v>93</v>
      </c>
    </row>
    <row r="351" spans="1:4">
      <c r="A351" s="264" t="s">
        <v>1019</v>
      </c>
      <c r="B351" s="266" t="s">
        <v>1020</v>
      </c>
      <c r="C351" s="220">
        <v>0</v>
      </c>
      <c r="D351" s="220">
        <v>110</v>
      </c>
    </row>
    <row r="352" spans="1:4">
      <c r="A352" s="264" t="s">
        <v>1021</v>
      </c>
      <c r="B352" s="266" t="s">
        <v>1022</v>
      </c>
      <c r="C352" s="220">
        <v>0</v>
      </c>
      <c r="D352" s="220">
        <v>2</v>
      </c>
    </row>
    <row r="353" spans="1:4">
      <c r="A353" s="259" t="s">
        <v>1023</v>
      </c>
      <c r="B353" s="267" t="s">
        <v>1024</v>
      </c>
      <c r="C353" s="220">
        <v>0</v>
      </c>
      <c r="D353" s="220">
        <v>0</v>
      </c>
    </row>
    <row r="354" spans="1:4">
      <c r="A354" s="259" t="s">
        <v>1025</v>
      </c>
      <c r="B354" s="267" t="s">
        <v>1026</v>
      </c>
      <c r="C354" s="220">
        <v>0</v>
      </c>
      <c r="D354" s="220">
        <v>0</v>
      </c>
    </row>
    <row r="355" spans="1:4">
      <c r="A355" s="259" t="s">
        <v>1027</v>
      </c>
      <c r="B355" s="263" t="s">
        <v>1028</v>
      </c>
      <c r="C355" s="220">
        <v>0</v>
      </c>
      <c r="D355" s="220">
        <v>0</v>
      </c>
    </row>
    <row r="356" spans="1:4">
      <c r="A356" s="259" t="s">
        <v>1029</v>
      </c>
      <c r="B356" s="263" t="s">
        <v>1030</v>
      </c>
      <c r="C356" s="220">
        <v>1</v>
      </c>
      <c r="D356" s="220">
        <v>2</v>
      </c>
    </row>
    <row r="357" spans="1:4">
      <c r="A357" s="259" t="s">
        <v>1031</v>
      </c>
      <c r="B357" s="263" t="s">
        <v>1032</v>
      </c>
      <c r="C357" s="220">
        <v>0</v>
      </c>
      <c r="D357" s="220">
        <v>1</v>
      </c>
    </row>
    <row r="358" spans="1:4">
      <c r="A358" s="259" t="s">
        <v>1033</v>
      </c>
      <c r="B358" s="263" t="s">
        <v>1034</v>
      </c>
      <c r="C358" s="220">
        <v>14</v>
      </c>
      <c r="D358" s="220">
        <v>20</v>
      </c>
    </row>
    <row r="359" spans="1:4">
      <c r="A359" s="259" t="s">
        <v>1035</v>
      </c>
      <c r="B359" s="263" t="s">
        <v>1036</v>
      </c>
      <c r="C359" s="220">
        <v>0</v>
      </c>
      <c r="D359" s="220">
        <v>0</v>
      </c>
    </row>
    <row r="360" spans="1:4">
      <c r="A360" s="259" t="s">
        <v>1037</v>
      </c>
      <c r="B360" s="263" t="s">
        <v>1036</v>
      </c>
      <c r="C360" s="220">
        <v>0</v>
      </c>
      <c r="D360" s="220">
        <v>0</v>
      </c>
    </row>
    <row r="361" spans="1:4">
      <c r="A361" s="259" t="s">
        <v>1038</v>
      </c>
      <c r="B361" s="267" t="s">
        <v>1039</v>
      </c>
      <c r="C361" s="220">
        <v>0</v>
      </c>
      <c r="D361" s="220">
        <v>0</v>
      </c>
    </row>
    <row r="362" spans="1:4">
      <c r="A362" s="259" t="s">
        <v>1040</v>
      </c>
      <c r="B362" s="267" t="s">
        <v>1041</v>
      </c>
      <c r="C362" s="220">
        <v>0</v>
      </c>
      <c r="D362" s="220">
        <v>0</v>
      </c>
    </row>
    <row r="363" spans="1:4">
      <c r="A363" s="259" t="s">
        <v>1042</v>
      </c>
      <c r="B363" s="263" t="s">
        <v>1043</v>
      </c>
      <c r="C363" s="220">
        <v>0</v>
      </c>
      <c r="D363" s="220">
        <v>0</v>
      </c>
    </row>
    <row r="364" spans="1:4" ht="25.5">
      <c r="A364" s="259" t="s">
        <v>1044</v>
      </c>
      <c r="B364" s="263" t="s">
        <v>1045</v>
      </c>
      <c r="C364" s="220">
        <v>0</v>
      </c>
      <c r="D364" s="220">
        <v>3</v>
      </c>
    </row>
    <row r="365" spans="1:4" ht="25.5">
      <c r="A365" s="259" t="s">
        <v>1046</v>
      </c>
      <c r="B365" s="263" t="s">
        <v>1047</v>
      </c>
      <c r="C365" s="220">
        <v>3</v>
      </c>
      <c r="D365" s="220">
        <v>2</v>
      </c>
    </row>
    <row r="366" spans="1:4" ht="25.5">
      <c r="A366" s="259" t="s">
        <v>1048</v>
      </c>
      <c r="B366" s="263" t="s">
        <v>1049</v>
      </c>
      <c r="C366" s="220">
        <v>6</v>
      </c>
      <c r="D366" s="220">
        <v>5</v>
      </c>
    </row>
    <row r="367" spans="1:4">
      <c r="A367" s="259" t="s">
        <v>1050</v>
      </c>
      <c r="B367" s="263" t="s">
        <v>1051</v>
      </c>
      <c r="C367" s="220">
        <v>0</v>
      </c>
      <c r="D367" s="220">
        <v>8</v>
      </c>
    </row>
    <row r="368" spans="1:4">
      <c r="A368" s="259" t="s">
        <v>1052</v>
      </c>
      <c r="B368" s="263" t="s">
        <v>1053</v>
      </c>
      <c r="C368" s="220">
        <v>13</v>
      </c>
      <c r="D368" s="220">
        <v>21</v>
      </c>
    </row>
    <row r="369" spans="1:4">
      <c r="A369" s="259" t="s">
        <v>1054</v>
      </c>
      <c r="B369" s="263" t="s">
        <v>1055</v>
      </c>
      <c r="C369" s="220">
        <v>0</v>
      </c>
      <c r="D369" s="220">
        <v>0</v>
      </c>
    </row>
    <row r="370" spans="1:4">
      <c r="A370" s="259" t="s">
        <v>1056</v>
      </c>
      <c r="B370" s="263" t="s">
        <v>1057</v>
      </c>
      <c r="C370" s="220">
        <v>1</v>
      </c>
      <c r="D370" s="220">
        <v>7</v>
      </c>
    </row>
    <row r="371" spans="1:4">
      <c r="A371" s="259" t="s">
        <v>1058</v>
      </c>
      <c r="B371" s="266" t="s">
        <v>1059</v>
      </c>
      <c r="C371" s="220">
        <v>0</v>
      </c>
      <c r="D371" s="220">
        <v>0</v>
      </c>
    </row>
    <row r="372" spans="1:4">
      <c r="A372" s="259" t="s">
        <v>1060</v>
      </c>
      <c r="B372" s="266" t="s">
        <v>1061</v>
      </c>
      <c r="C372" s="220">
        <v>0</v>
      </c>
      <c r="D372" s="220">
        <v>0</v>
      </c>
    </row>
    <row r="373" spans="1:4">
      <c r="A373" s="259" t="s">
        <v>1062</v>
      </c>
      <c r="B373" s="263" t="s">
        <v>1063</v>
      </c>
      <c r="C373" s="220">
        <v>40</v>
      </c>
      <c r="D373" s="220">
        <v>91</v>
      </c>
    </row>
    <row r="374" spans="1:4">
      <c r="A374" s="259" t="s">
        <v>1064</v>
      </c>
      <c r="B374" s="266" t="s">
        <v>1065</v>
      </c>
      <c r="C374" s="220">
        <v>0</v>
      </c>
      <c r="D374" s="220">
        <v>0</v>
      </c>
    </row>
    <row r="375" spans="1:4">
      <c r="A375" s="259" t="s">
        <v>1066</v>
      </c>
      <c r="B375" s="266" t="s">
        <v>1067</v>
      </c>
      <c r="C375" s="220">
        <v>5</v>
      </c>
      <c r="D375" s="220">
        <v>20</v>
      </c>
    </row>
    <row r="376" spans="1:4">
      <c r="A376" s="259" t="s">
        <v>1068</v>
      </c>
      <c r="B376" s="263" t="s">
        <v>1069</v>
      </c>
      <c r="C376" s="220">
        <v>0</v>
      </c>
      <c r="D376" s="220">
        <v>1</v>
      </c>
    </row>
    <row r="377" spans="1:4">
      <c r="A377" s="259" t="s">
        <v>1070</v>
      </c>
      <c r="B377" s="263" t="s">
        <v>1071</v>
      </c>
      <c r="C377" s="220">
        <v>0</v>
      </c>
      <c r="D377" s="220">
        <v>8</v>
      </c>
    </row>
    <row r="378" spans="1:4">
      <c r="A378" s="259" t="s">
        <v>1072</v>
      </c>
      <c r="B378" s="263" t="s">
        <v>1073</v>
      </c>
      <c r="C378" s="220">
        <v>15</v>
      </c>
      <c r="D378" s="220">
        <v>16</v>
      </c>
    </row>
    <row r="379" spans="1:4">
      <c r="A379" s="259" t="s">
        <v>1074</v>
      </c>
      <c r="B379" s="266" t="s">
        <v>1075</v>
      </c>
      <c r="C379" s="220">
        <v>0</v>
      </c>
      <c r="D379" s="220">
        <v>91</v>
      </c>
    </row>
    <row r="380" spans="1:4">
      <c r="A380" s="259" t="s">
        <v>1076</v>
      </c>
      <c r="B380" s="266" t="s">
        <v>1077</v>
      </c>
      <c r="C380" s="220">
        <v>0</v>
      </c>
      <c r="D380" s="220">
        <v>0</v>
      </c>
    </row>
    <row r="381" spans="1:4">
      <c r="A381" s="259" t="s">
        <v>1078</v>
      </c>
      <c r="B381" s="266" t="s">
        <v>1079</v>
      </c>
      <c r="C381" s="220">
        <v>0</v>
      </c>
      <c r="D381" s="220">
        <v>0</v>
      </c>
    </row>
    <row r="382" spans="1:4">
      <c r="A382" s="259" t="s">
        <v>1080</v>
      </c>
      <c r="B382" s="263" t="s">
        <v>1081</v>
      </c>
      <c r="C382" s="220">
        <v>2</v>
      </c>
      <c r="D382" s="220">
        <v>2</v>
      </c>
    </row>
    <row r="383" spans="1:4">
      <c r="A383" s="259" t="s">
        <v>1082</v>
      </c>
      <c r="B383" s="263" t="s">
        <v>1083</v>
      </c>
      <c r="C383" s="220">
        <v>1</v>
      </c>
      <c r="D383" s="220">
        <v>11</v>
      </c>
    </row>
    <row r="384" spans="1:4">
      <c r="A384" s="259" t="s">
        <v>1084</v>
      </c>
      <c r="B384" s="263" t="s">
        <v>1085</v>
      </c>
      <c r="C384" s="220">
        <v>1</v>
      </c>
      <c r="D384" s="220">
        <v>1</v>
      </c>
    </row>
    <row r="385" spans="1:4">
      <c r="A385" s="259" t="s">
        <v>1086</v>
      </c>
      <c r="B385" s="263" t="s">
        <v>1087</v>
      </c>
      <c r="C385" s="220">
        <v>1</v>
      </c>
      <c r="D385" s="220">
        <v>9</v>
      </c>
    </row>
    <row r="386" spans="1:4">
      <c r="A386" s="259" t="s">
        <v>1088</v>
      </c>
      <c r="B386" s="263" t="s">
        <v>1089</v>
      </c>
      <c r="C386" s="220">
        <v>5</v>
      </c>
      <c r="D386" s="220">
        <v>11</v>
      </c>
    </row>
    <row r="387" spans="1:4">
      <c r="A387" s="259" t="s">
        <v>1090</v>
      </c>
      <c r="B387" s="263" t="s">
        <v>1091</v>
      </c>
      <c r="C387" s="220">
        <v>2</v>
      </c>
      <c r="D387" s="220">
        <v>2</v>
      </c>
    </row>
    <row r="388" spans="1:4">
      <c r="A388" s="259" t="s">
        <v>1092</v>
      </c>
      <c r="B388" s="263" t="s">
        <v>1093</v>
      </c>
      <c r="C388" s="220">
        <v>0</v>
      </c>
      <c r="D388" s="220">
        <v>0</v>
      </c>
    </row>
    <row r="389" spans="1:4">
      <c r="A389" s="259" t="s">
        <v>1094</v>
      </c>
      <c r="B389" s="263" t="s">
        <v>1095</v>
      </c>
      <c r="C389" s="220">
        <v>2</v>
      </c>
      <c r="D389" s="220">
        <v>4</v>
      </c>
    </row>
    <row r="390" spans="1:4">
      <c r="A390" s="259" t="s">
        <v>1096</v>
      </c>
      <c r="B390" s="263" t="s">
        <v>1097</v>
      </c>
      <c r="C390" s="220">
        <v>0</v>
      </c>
      <c r="D390" s="220">
        <v>0</v>
      </c>
    </row>
    <row r="391" spans="1:4">
      <c r="A391" s="259" t="s">
        <v>1098</v>
      </c>
      <c r="B391" s="263" t="s">
        <v>1099</v>
      </c>
      <c r="C391" s="220">
        <v>0</v>
      </c>
      <c r="D391" s="220">
        <v>0</v>
      </c>
    </row>
    <row r="392" spans="1:4">
      <c r="A392" s="259" t="s">
        <v>1100</v>
      </c>
      <c r="B392" s="263" t="s">
        <v>1101</v>
      </c>
      <c r="C392" s="220">
        <v>0</v>
      </c>
      <c r="D392" s="220">
        <v>0</v>
      </c>
    </row>
    <row r="393" spans="1:4">
      <c r="A393" s="259" t="s">
        <v>1102</v>
      </c>
      <c r="B393" s="263" t="s">
        <v>1103</v>
      </c>
      <c r="C393" s="220">
        <v>0</v>
      </c>
      <c r="D393" s="220">
        <v>8</v>
      </c>
    </row>
    <row r="394" spans="1:4">
      <c r="A394" s="259" t="s">
        <v>1104</v>
      </c>
      <c r="B394" s="266" t="s">
        <v>1105</v>
      </c>
      <c r="C394" s="220">
        <v>0</v>
      </c>
      <c r="D394" s="220">
        <v>5</v>
      </c>
    </row>
    <row r="395" spans="1:4">
      <c r="A395" s="259" t="s">
        <v>1106</v>
      </c>
      <c r="B395" s="266" t="s">
        <v>1107</v>
      </c>
      <c r="C395" s="220">
        <v>3</v>
      </c>
      <c r="D395" s="220">
        <v>10</v>
      </c>
    </row>
    <row r="396" spans="1:4">
      <c r="A396" s="259" t="s">
        <v>1108</v>
      </c>
      <c r="B396" s="266" t="s">
        <v>1109</v>
      </c>
      <c r="C396" s="220">
        <v>1</v>
      </c>
      <c r="D396" s="220">
        <v>1</v>
      </c>
    </row>
    <row r="397" spans="1:4">
      <c r="A397" s="259" t="s">
        <v>1110</v>
      </c>
      <c r="B397" s="266" t="s">
        <v>1111</v>
      </c>
      <c r="C397" s="220">
        <v>0</v>
      </c>
      <c r="D397" s="220">
        <v>2</v>
      </c>
    </row>
    <row r="398" spans="1:4">
      <c r="A398" s="259" t="s">
        <v>1112</v>
      </c>
      <c r="B398" s="263" t="s">
        <v>1113</v>
      </c>
      <c r="C398" s="220">
        <v>0</v>
      </c>
      <c r="D398" s="220">
        <v>10</v>
      </c>
    </row>
    <row r="399" spans="1:4">
      <c r="A399" s="259" t="s">
        <v>1114</v>
      </c>
      <c r="B399" s="263" t="s">
        <v>1115</v>
      </c>
      <c r="C399" s="220">
        <v>7</v>
      </c>
      <c r="D399" s="220">
        <v>17</v>
      </c>
    </row>
    <row r="400" spans="1:4">
      <c r="A400" s="259" t="s">
        <v>1116</v>
      </c>
      <c r="B400" s="263" t="s">
        <v>1117</v>
      </c>
      <c r="C400" s="220">
        <v>0</v>
      </c>
      <c r="D400" s="220">
        <v>0</v>
      </c>
    </row>
    <row r="401" spans="1:4">
      <c r="A401" s="259" t="s">
        <v>1118</v>
      </c>
      <c r="B401" s="263" t="s">
        <v>1119</v>
      </c>
      <c r="C401" s="220">
        <v>3</v>
      </c>
      <c r="D401" s="220">
        <v>6</v>
      </c>
    </row>
    <row r="402" spans="1:4">
      <c r="A402" s="259" t="s">
        <v>1120</v>
      </c>
      <c r="B402" s="263" t="s">
        <v>1121</v>
      </c>
      <c r="C402" s="220">
        <v>0</v>
      </c>
      <c r="D402" s="220">
        <v>0</v>
      </c>
    </row>
    <row r="403" spans="1:4">
      <c r="A403" s="259" t="s">
        <v>1122</v>
      </c>
      <c r="B403" s="263" t="s">
        <v>1123</v>
      </c>
      <c r="C403" s="220">
        <v>0</v>
      </c>
      <c r="D403" s="220">
        <v>28</v>
      </c>
    </row>
    <row r="404" spans="1:4">
      <c r="A404" s="259" t="s">
        <v>1124</v>
      </c>
      <c r="B404" s="263" t="s">
        <v>1125</v>
      </c>
      <c r="C404" s="220">
        <v>0</v>
      </c>
      <c r="D404" s="220">
        <v>0</v>
      </c>
    </row>
    <row r="405" spans="1:4">
      <c r="A405" s="259" t="s">
        <v>1126</v>
      </c>
      <c r="B405" s="263" t="s">
        <v>1127</v>
      </c>
      <c r="C405" s="220">
        <v>0</v>
      </c>
      <c r="D405" s="220">
        <v>2</v>
      </c>
    </row>
    <row r="406" spans="1:4">
      <c r="A406" s="259" t="s">
        <v>1128</v>
      </c>
      <c r="B406" s="263" t="s">
        <v>1129</v>
      </c>
      <c r="C406" s="220">
        <v>6</v>
      </c>
      <c r="D406" s="220">
        <v>27</v>
      </c>
    </row>
    <row r="407" spans="1:4">
      <c r="A407" s="259" t="s">
        <v>1130</v>
      </c>
      <c r="B407" s="263" t="s">
        <v>1131</v>
      </c>
      <c r="C407" s="220">
        <v>25</v>
      </c>
      <c r="D407" s="220">
        <v>86</v>
      </c>
    </row>
    <row r="408" spans="1:4">
      <c r="A408" s="259" t="s">
        <v>1132</v>
      </c>
      <c r="B408" s="263" t="s">
        <v>1133</v>
      </c>
      <c r="C408" s="220">
        <v>6</v>
      </c>
      <c r="D408" s="220">
        <v>23</v>
      </c>
    </row>
    <row r="409" spans="1:4">
      <c r="A409" s="259" t="s">
        <v>1134</v>
      </c>
      <c r="B409" s="263" t="s">
        <v>1135</v>
      </c>
      <c r="C409" s="220">
        <v>1</v>
      </c>
      <c r="D409" s="220">
        <v>9</v>
      </c>
    </row>
    <row r="410" spans="1:4">
      <c r="A410" s="259" t="s">
        <v>1136</v>
      </c>
      <c r="B410" s="263" t="s">
        <v>1137</v>
      </c>
      <c r="C410" s="220">
        <v>21</v>
      </c>
      <c r="D410" s="220">
        <v>95</v>
      </c>
    </row>
    <row r="411" spans="1:4">
      <c r="A411" s="259" t="s">
        <v>1138</v>
      </c>
      <c r="B411" s="260" t="s">
        <v>1139</v>
      </c>
      <c r="C411" s="220">
        <v>0</v>
      </c>
      <c r="D411" s="220">
        <v>4</v>
      </c>
    </row>
    <row r="412" spans="1:4">
      <c r="A412" s="259" t="s">
        <v>1140</v>
      </c>
      <c r="B412" s="260" t="s">
        <v>1141</v>
      </c>
      <c r="C412" s="220">
        <v>4</v>
      </c>
      <c r="D412" s="220">
        <v>25</v>
      </c>
    </row>
    <row r="413" spans="1:4">
      <c r="A413" s="259" t="s">
        <v>1142</v>
      </c>
      <c r="B413" s="260" t="s">
        <v>1143</v>
      </c>
      <c r="C413" s="220">
        <v>1</v>
      </c>
      <c r="D413" s="220">
        <v>4</v>
      </c>
    </row>
    <row r="414" spans="1:4">
      <c r="A414" s="259" t="s">
        <v>1144</v>
      </c>
      <c r="B414" s="260" t="s">
        <v>1145</v>
      </c>
      <c r="C414" s="220">
        <v>4</v>
      </c>
      <c r="D414" s="220">
        <v>11</v>
      </c>
    </row>
    <row r="415" spans="1:4">
      <c r="A415" s="259" t="s">
        <v>1146</v>
      </c>
      <c r="B415" s="260" t="s">
        <v>1147</v>
      </c>
      <c r="C415" s="220">
        <v>1</v>
      </c>
      <c r="D415" s="220">
        <v>2</v>
      </c>
    </row>
    <row r="416" spans="1:4">
      <c r="A416" s="259" t="s">
        <v>1148</v>
      </c>
      <c r="B416" s="260" t="s">
        <v>1149</v>
      </c>
      <c r="C416" s="220">
        <v>3</v>
      </c>
      <c r="D416" s="220">
        <v>3</v>
      </c>
    </row>
    <row r="417" spans="1:4">
      <c r="A417" s="259" t="s">
        <v>1150</v>
      </c>
      <c r="B417" s="269" t="s">
        <v>1151</v>
      </c>
      <c r="C417" s="220">
        <v>7</v>
      </c>
      <c r="D417" s="220">
        <v>37</v>
      </c>
    </row>
    <row r="418" spans="1:4">
      <c r="A418" s="259" t="s">
        <v>1152</v>
      </c>
      <c r="B418" s="260" t="s">
        <v>1153</v>
      </c>
      <c r="C418" s="220">
        <v>5</v>
      </c>
      <c r="D418" s="220">
        <v>22</v>
      </c>
    </row>
    <row r="419" spans="1:4">
      <c r="A419" s="259" t="s">
        <v>1154</v>
      </c>
      <c r="B419" s="260" t="s">
        <v>1155</v>
      </c>
      <c r="C419" s="220">
        <v>36</v>
      </c>
      <c r="D419" s="220">
        <v>122</v>
      </c>
    </row>
    <row r="420" spans="1:4">
      <c r="A420" s="259" t="s">
        <v>1156</v>
      </c>
      <c r="B420" s="260" t="s">
        <v>1157</v>
      </c>
      <c r="C420" s="220">
        <v>1</v>
      </c>
      <c r="D420" s="220">
        <v>8</v>
      </c>
    </row>
    <row r="421" spans="1:4">
      <c r="A421" s="259" t="s">
        <v>1158</v>
      </c>
      <c r="B421" s="260" t="s">
        <v>1159</v>
      </c>
      <c r="C421" s="220">
        <v>17</v>
      </c>
      <c r="D421" s="220">
        <v>41</v>
      </c>
    </row>
    <row r="422" spans="1:4">
      <c r="A422" s="259" t="s">
        <v>1160</v>
      </c>
      <c r="B422" s="260" t="s">
        <v>1161</v>
      </c>
      <c r="C422" s="220">
        <v>1</v>
      </c>
      <c r="D422" s="220">
        <v>9</v>
      </c>
    </row>
    <row r="423" spans="1:4">
      <c r="A423" s="259" t="s">
        <v>1162</v>
      </c>
      <c r="B423" s="260" t="s">
        <v>1163</v>
      </c>
      <c r="C423" s="220">
        <v>6</v>
      </c>
      <c r="D423" s="220">
        <v>24</v>
      </c>
    </row>
    <row r="424" spans="1:4">
      <c r="A424" s="259" t="s">
        <v>1164</v>
      </c>
      <c r="B424" s="260" t="s">
        <v>1165</v>
      </c>
      <c r="C424" s="220">
        <v>11</v>
      </c>
      <c r="D424" s="220">
        <v>78</v>
      </c>
    </row>
    <row r="425" spans="1:4">
      <c r="A425" s="259" t="s">
        <v>1166</v>
      </c>
      <c r="B425" s="260" t="s">
        <v>1167</v>
      </c>
      <c r="C425" s="220">
        <v>65</v>
      </c>
      <c r="D425" s="220">
        <v>217</v>
      </c>
    </row>
    <row r="426" spans="1:4">
      <c r="A426" s="259" t="s">
        <v>1168</v>
      </c>
      <c r="B426" s="260" t="s">
        <v>1169</v>
      </c>
      <c r="C426" s="220">
        <v>0</v>
      </c>
      <c r="D426" s="220">
        <v>0</v>
      </c>
    </row>
    <row r="427" spans="1:4">
      <c r="A427" s="259" t="s">
        <v>1170</v>
      </c>
      <c r="B427" s="260" t="s">
        <v>1171</v>
      </c>
      <c r="C427" s="220">
        <v>1</v>
      </c>
      <c r="D427" s="220">
        <v>13</v>
      </c>
    </row>
    <row r="428" spans="1:4" ht="18.75">
      <c r="A428" s="258">
        <v>9</v>
      </c>
      <c r="B428" s="265" t="s">
        <v>1172</v>
      </c>
      <c r="C428" s="257">
        <v>0</v>
      </c>
      <c r="D428" s="257">
        <v>0</v>
      </c>
    </row>
    <row r="429" spans="1:4">
      <c r="A429" s="259" t="s">
        <v>1173</v>
      </c>
      <c r="B429" s="269" t="s">
        <v>1174</v>
      </c>
      <c r="C429" s="220">
        <v>0</v>
      </c>
      <c r="D429" s="220">
        <v>0</v>
      </c>
    </row>
    <row r="430" spans="1:4">
      <c r="A430" s="259" t="s">
        <v>1175</v>
      </c>
      <c r="B430" s="269" t="s">
        <v>1176</v>
      </c>
      <c r="C430" s="220">
        <v>0</v>
      </c>
      <c r="D430" s="220">
        <v>0</v>
      </c>
    </row>
    <row r="431" spans="1:4">
      <c r="A431" s="259" t="s">
        <v>1177</v>
      </c>
      <c r="B431" s="269" t="s">
        <v>1178</v>
      </c>
      <c r="C431" s="220">
        <v>12</v>
      </c>
      <c r="D431" s="220">
        <v>59</v>
      </c>
    </row>
    <row r="432" spans="1:4">
      <c r="A432" s="259" t="s">
        <v>1179</v>
      </c>
      <c r="B432" s="261" t="s">
        <v>1180</v>
      </c>
      <c r="C432" s="220">
        <v>42</v>
      </c>
      <c r="D432" s="220">
        <v>171</v>
      </c>
    </row>
    <row r="433" spans="1:4">
      <c r="A433" s="259" t="s">
        <v>1181</v>
      </c>
      <c r="B433" s="260" t="s">
        <v>1182</v>
      </c>
      <c r="C433" s="220">
        <v>2</v>
      </c>
      <c r="D433" s="220">
        <v>5</v>
      </c>
    </row>
    <row r="434" spans="1:4">
      <c r="A434" s="259" t="s">
        <v>1183</v>
      </c>
      <c r="B434" s="260" t="s">
        <v>1184</v>
      </c>
      <c r="C434" s="220">
        <v>10</v>
      </c>
      <c r="D434" s="220">
        <v>23</v>
      </c>
    </row>
    <row r="435" spans="1:4">
      <c r="A435" s="259" t="s">
        <v>1185</v>
      </c>
      <c r="B435" s="260" t="s">
        <v>1186</v>
      </c>
      <c r="C435" s="220">
        <v>12</v>
      </c>
      <c r="D435" s="220">
        <v>33</v>
      </c>
    </row>
    <row r="436" spans="1:4">
      <c r="A436" s="259" t="s">
        <v>1187</v>
      </c>
      <c r="B436" s="260" t="s">
        <v>1188</v>
      </c>
      <c r="C436" s="220">
        <v>0</v>
      </c>
      <c r="D436" s="220">
        <v>0</v>
      </c>
    </row>
    <row r="437" spans="1:4">
      <c r="A437" s="259" t="s">
        <v>1189</v>
      </c>
      <c r="B437" s="260" t="s">
        <v>1190</v>
      </c>
      <c r="C437" s="220">
        <v>28</v>
      </c>
      <c r="D437" s="220">
        <v>82</v>
      </c>
    </row>
    <row r="438" spans="1:4">
      <c r="A438" s="259" t="s">
        <v>1191</v>
      </c>
      <c r="B438" s="260" t="s">
        <v>1192</v>
      </c>
      <c r="C438" s="220">
        <v>0</v>
      </c>
      <c r="D438" s="220">
        <v>0</v>
      </c>
    </row>
    <row r="439" spans="1:4" ht="25.5">
      <c r="A439" s="259" t="s">
        <v>1193</v>
      </c>
      <c r="B439" s="260" t="s">
        <v>1194</v>
      </c>
      <c r="C439" s="220">
        <v>0</v>
      </c>
      <c r="D439" s="220">
        <v>0</v>
      </c>
    </row>
    <row r="440" spans="1:4">
      <c r="A440" s="259" t="s">
        <v>1195</v>
      </c>
      <c r="B440" s="260" t="s">
        <v>1196</v>
      </c>
      <c r="C440" s="220">
        <v>3</v>
      </c>
      <c r="D440" s="220">
        <v>5</v>
      </c>
    </row>
    <row r="441" spans="1:4" ht="25.5">
      <c r="A441" s="259" t="s">
        <v>1197</v>
      </c>
      <c r="B441" s="260" t="s">
        <v>1198</v>
      </c>
      <c r="C441" s="220">
        <v>0</v>
      </c>
      <c r="D441" s="220">
        <v>0</v>
      </c>
    </row>
    <row r="442" spans="1:4" ht="25.5">
      <c r="A442" s="259" t="s">
        <v>1199</v>
      </c>
      <c r="B442" s="260" t="s">
        <v>1200</v>
      </c>
      <c r="C442" s="220">
        <v>0</v>
      </c>
      <c r="D442" s="220">
        <v>0</v>
      </c>
    </row>
    <row r="443" spans="1:4">
      <c r="A443" s="259" t="s">
        <v>1201</v>
      </c>
      <c r="B443" s="260" t="s">
        <v>1202</v>
      </c>
      <c r="C443" s="220">
        <v>0</v>
      </c>
      <c r="D443" s="220">
        <v>0</v>
      </c>
    </row>
    <row r="444" spans="1:4">
      <c r="A444" s="259" t="s">
        <v>1203</v>
      </c>
      <c r="B444" s="260" t="s">
        <v>1204</v>
      </c>
      <c r="C444" s="220">
        <v>1</v>
      </c>
      <c r="D444" s="220">
        <v>2</v>
      </c>
    </row>
    <row r="445" spans="1:4">
      <c r="A445" s="259" t="s">
        <v>1205</v>
      </c>
      <c r="B445" s="260" t="s">
        <v>1206</v>
      </c>
      <c r="C445" s="220">
        <v>15</v>
      </c>
      <c r="D445" s="220">
        <v>84</v>
      </c>
    </row>
    <row r="446" spans="1:4">
      <c r="A446" s="259" t="s">
        <v>1207</v>
      </c>
      <c r="B446" s="260" t="s">
        <v>1208</v>
      </c>
      <c r="C446" s="220">
        <v>0</v>
      </c>
      <c r="D446" s="220">
        <v>6</v>
      </c>
    </row>
    <row r="447" spans="1:4">
      <c r="A447" s="259" t="s">
        <v>1209</v>
      </c>
      <c r="B447" s="260" t="s">
        <v>1210</v>
      </c>
      <c r="C447" s="220">
        <v>8</v>
      </c>
      <c r="D447" s="220">
        <v>16</v>
      </c>
    </row>
    <row r="448" spans="1:4">
      <c r="A448" s="259" t="s">
        <v>1211</v>
      </c>
      <c r="B448" s="260" t="s">
        <v>1212</v>
      </c>
      <c r="C448" s="220">
        <v>12</v>
      </c>
      <c r="D448" s="220">
        <v>36</v>
      </c>
    </row>
    <row r="449" spans="1:4">
      <c r="A449" s="259" t="s">
        <v>1213</v>
      </c>
      <c r="B449" s="269" t="s">
        <v>1214</v>
      </c>
      <c r="C449" s="220">
        <v>0</v>
      </c>
      <c r="D449" s="220">
        <v>3</v>
      </c>
    </row>
    <row r="450" spans="1:4">
      <c r="A450" s="259" t="s">
        <v>1215</v>
      </c>
      <c r="B450" s="269" t="s">
        <v>1216</v>
      </c>
      <c r="C450" s="220">
        <v>6</v>
      </c>
      <c r="D450" s="220">
        <v>47</v>
      </c>
    </row>
    <row r="451" spans="1:4">
      <c r="A451" s="259" t="s">
        <v>1217</v>
      </c>
      <c r="B451" s="260" t="s">
        <v>1218</v>
      </c>
      <c r="C451" s="220">
        <v>5</v>
      </c>
      <c r="D451" s="220">
        <v>17</v>
      </c>
    </row>
    <row r="452" spans="1:4">
      <c r="A452" s="259" t="s">
        <v>1219</v>
      </c>
      <c r="B452" s="260" t="s">
        <v>1220</v>
      </c>
      <c r="C452" s="220">
        <v>52</v>
      </c>
      <c r="D452" s="220">
        <v>277</v>
      </c>
    </row>
    <row r="453" spans="1:4">
      <c r="A453" s="259" t="s">
        <v>1221</v>
      </c>
      <c r="B453" s="260" t="s">
        <v>1222</v>
      </c>
      <c r="C453" s="220">
        <v>3</v>
      </c>
      <c r="D453" s="220">
        <v>19</v>
      </c>
    </row>
    <row r="454" spans="1:4">
      <c r="A454" s="259" t="s">
        <v>1223</v>
      </c>
      <c r="B454" s="260" t="s">
        <v>1224</v>
      </c>
      <c r="C454" s="220">
        <v>49</v>
      </c>
      <c r="D454" s="220">
        <v>204</v>
      </c>
    </row>
    <row r="455" spans="1:4">
      <c r="A455" s="259" t="s">
        <v>1225</v>
      </c>
      <c r="B455" s="260" t="s">
        <v>1226</v>
      </c>
      <c r="C455" s="220">
        <v>13</v>
      </c>
      <c r="D455" s="220">
        <v>217</v>
      </c>
    </row>
    <row r="456" spans="1:4">
      <c r="A456" s="259" t="s">
        <v>1227</v>
      </c>
      <c r="B456" s="260" t="s">
        <v>1228</v>
      </c>
      <c r="C456" s="220">
        <v>37</v>
      </c>
      <c r="D456" s="220">
        <v>217</v>
      </c>
    </row>
    <row r="457" spans="1:4">
      <c r="A457" s="259" t="s">
        <v>1229</v>
      </c>
      <c r="B457" s="260" t="s">
        <v>1230</v>
      </c>
      <c r="C457" s="220">
        <v>1</v>
      </c>
      <c r="D457" s="220">
        <v>0</v>
      </c>
    </row>
    <row r="458" spans="1:4">
      <c r="A458" s="259" t="s">
        <v>1231</v>
      </c>
      <c r="B458" s="260" t="s">
        <v>1232</v>
      </c>
      <c r="C458" s="220">
        <v>1</v>
      </c>
      <c r="D458" s="220">
        <v>6</v>
      </c>
    </row>
    <row r="459" spans="1:4">
      <c r="A459" s="259" t="s">
        <v>1233</v>
      </c>
      <c r="B459" s="260" t="s">
        <v>1234</v>
      </c>
      <c r="C459" s="220">
        <v>0</v>
      </c>
      <c r="D459" s="220">
        <v>9</v>
      </c>
    </row>
    <row r="460" spans="1:4">
      <c r="A460" s="259" t="s">
        <v>1235</v>
      </c>
      <c r="B460" s="260" t="s">
        <v>1236</v>
      </c>
      <c r="C460" s="220">
        <v>0</v>
      </c>
      <c r="D460" s="220">
        <v>0</v>
      </c>
    </row>
    <row r="461" spans="1:4">
      <c r="A461" s="259" t="s">
        <v>1237</v>
      </c>
      <c r="B461" s="260" t="s">
        <v>1238</v>
      </c>
      <c r="C461" s="220">
        <v>2</v>
      </c>
      <c r="D461" s="220">
        <v>8</v>
      </c>
    </row>
    <row r="462" spans="1:4">
      <c r="A462" s="259" t="s">
        <v>1239</v>
      </c>
      <c r="B462" s="260" t="s">
        <v>1240</v>
      </c>
      <c r="C462" s="220">
        <v>3</v>
      </c>
      <c r="D462" s="220">
        <v>3</v>
      </c>
    </row>
    <row r="463" spans="1:4" ht="37.5">
      <c r="A463" s="258">
        <v>10</v>
      </c>
      <c r="B463" s="265" t="s">
        <v>1241</v>
      </c>
      <c r="C463" s="257">
        <v>0</v>
      </c>
      <c r="D463" s="257">
        <v>0</v>
      </c>
    </row>
    <row r="464" spans="1:4">
      <c r="A464" s="259" t="s">
        <v>1242</v>
      </c>
      <c r="B464" s="260" t="s">
        <v>1243</v>
      </c>
      <c r="C464" s="220">
        <v>1</v>
      </c>
      <c r="D464" s="220">
        <v>6</v>
      </c>
    </row>
    <row r="465" spans="1:4">
      <c r="A465" s="259" t="s">
        <v>1244</v>
      </c>
      <c r="B465" s="260" t="s">
        <v>1245</v>
      </c>
      <c r="C465" s="220">
        <v>1</v>
      </c>
      <c r="D465" s="220">
        <v>20</v>
      </c>
    </row>
    <row r="466" spans="1:4">
      <c r="A466" s="259" t="s">
        <v>1246</v>
      </c>
      <c r="B466" s="269" t="s">
        <v>1247</v>
      </c>
      <c r="C466" s="220">
        <v>0</v>
      </c>
      <c r="D466" s="220">
        <v>0</v>
      </c>
    </row>
    <row r="467" spans="1:4">
      <c r="A467" s="259" t="s">
        <v>1248</v>
      </c>
      <c r="B467" s="269" t="s">
        <v>1249</v>
      </c>
      <c r="C467" s="220">
        <v>0</v>
      </c>
      <c r="D467" s="220">
        <v>0</v>
      </c>
    </row>
    <row r="468" spans="1:4">
      <c r="A468" s="259" t="s">
        <v>1250</v>
      </c>
      <c r="B468" s="260" t="s">
        <v>1251</v>
      </c>
      <c r="C468" s="220">
        <v>0</v>
      </c>
      <c r="D468" s="220">
        <v>0</v>
      </c>
    </row>
    <row r="469" spans="1:4">
      <c r="A469" s="259" t="s">
        <v>1252</v>
      </c>
      <c r="B469" s="269" t="s">
        <v>1253</v>
      </c>
      <c r="C469" s="220">
        <v>0</v>
      </c>
      <c r="D469" s="220">
        <v>0</v>
      </c>
    </row>
    <row r="470" spans="1:4">
      <c r="A470" s="259" t="s">
        <v>1254</v>
      </c>
      <c r="B470" s="269" t="s">
        <v>1255</v>
      </c>
      <c r="C470" s="220">
        <v>0</v>
      </c>
      <c r="D470" s="220">
        <v>0</v>
      </c>
    </row>
    <row r="471" spans="1:4">
      <c r="A471" s="259" t="s">
        <v>1256</v>
      </c>
      <c r="B471" s="269" t="s">
        <v>1257</v>
      </c>
      <c r="C471" s="220">
        <v>0</v>
      </c>
      <c r="D471" s="220">
        <v>0</v>
      </c>
    </row>
    <row r="472" spans="1:4">
      <c r="A472" s="259" t="s">
        <v>1258</v>
      </c>
      <c r="B472" s="269" t="s">
        <v>1259</v>
      </c>
      <c r="C472" s="220">
        <v>0</v>
      </c>
      <c r="D472" s="220">
        <v>0</v>
      </c>
    </row>
    <row r="473" spans="1:4">
      <c r="A473" s="259" t="s">
        <v>1260</v>
      </c>
      <c r="B473" s="269" t="s">
        <v>1261</v>
      </c>
      <c r="C473" s="220">
        <v>0</v>
      </c>
      <c r="D473" s="220">
        <v>0</v>
      </c>
    </row>
    <row r="474" spans="1:4">
      <c r="A474" s="259" t="s">
        <v>1262</v>
      </c>
      <c r="B474" s="269" t="s">
        <v>1263</v>
      </c>
      <c r="C474" s="220">
        <v>0</v>
      </c>
      <c r="D474" s="220">
        <v>0</v>
      </c>
    </row>
    <row r="475" spans="1:4">
      <c r="A475" s="259" t="s">
        <v>1264</v>
      </c>
      <c r="B475" s="260" t="s">
        <v>1265</v>
      </c>
      <c r="C475" s="220">
        <v>0</v>
      </c>
      <c r="D475" s="220">
        <v>0</v>
      </c>
    </row>
    <row r="476" spans="1:4">
      <c r="A476" s="259" t="s">
        <v>1266</v>
      </c>
      <c r="B476" s="260" t="s">
        <v>1267</v>
      </c>
      <c r="C476" s="220">
        <v>0</v>
      </c>
      <c r="D476" s="220">
        <v>0</v>
      </c>
    </row>
    <row r="477" spans="1:4" ht="25.5">
      <c r="A477" s="259" t="s">
        <v>1268</v>
      </c>
      <c r="B477" s="269" t="s">
        <v>1269</v>
      </c>
      <c r="C477" s="220">
        <v>0</v>
      </c>
      <c r="D477" s="220">
        <v>0</v>
      </c>
    </row>
    <row r="478" spans="1:4" ht="25.5">
      <c r="A478" s="259" t="s">
        <v>1270</v>
      </c>
      <c r="B478" s="269" t="s">
        <v>1271</v>
      </c>
      <c r="C478" s="220">
        <v>1</v>
      </c>
      <c r="D478" s="220">
        <v>0</v>
      </c>
    </row>
    <row r="479" spans="1:4">
      <c r="A479" s="259" t="s">
        <v>1272</v>
      </c>
      <c r="B479" s="269" t="s">
        <v>1273</v>
      </c>
      <c r="C479" s="220">
        <v>0</v>
      </c>
      <c r="D479" s="220">
        <v>0</v>
      </c>
    </row>
    <row r="480" spans="1:4">
      <c r="A480" s="259" t="s">
        <v>1274</v>
      </c>
      <c r="B480" s="269" t="s">
        <v>1275</v>
      </c>
      <c r="C480" s="220">
        <v>0</v>
      </c>
      <c r="D480" s="220">
        <v>0</v>
      </c>
    </row>
    <row r="481" spans="1:4">
      <c r="A481" s="259" t="s">
        <v>1276</v>
      </c>
      <c r="B481" s="269" t="s">
        <v>1277</v>
      </c>
      <c r="C481" s="220">
        <v>0</v>
      </c>
      <c r="D481" s="220">
        <v>0</v>
      </c>
    </row>
    <row r="482" spans="1:4">
      <c r="A482" s="259" t="s">
        <v>1278</v>
      </c>
      <c r="B482" s="269" t="s">
        <v>1279</v>
      </c>
      <c r="C482" s="220">
        <v>0</v>
      </c>
      <c r="D482" s="220">
        <v>0</v>
      </c>
    </row>
    <row r="483" spans="1:4">
      <c r="A483" s="259" t="s">
        <v>1280</v>
      </c>
      <c r="B483" s="260" t="s">
        <v>1281</v>
      </c>
      <c r="C483" s="220">
        <v>18</v>
      </c>
      <c r="D483" s="220">
        <v>15</v>
      </c>
    </row>
    <row r="484" spans="1:4">
      <c r="A484" s="259" t="s">
        <v>1282</v>
      </c>
      <c r="B484" s="260" t="s">
        <v>1283</v>
      </c>
      <c r="C484" s="220">
        <v>78</v>
      </c>
      <c r="D484" s="220">
        <v>553</v>
      </c>
    </row>
    <row r="485" spans="1:4">
      <c r="A485" s="259" t="s">
        <v>1284</v>
      </c>
      <c r="B485" s="260" t="s">
        <v>1285</v>
      </c>
      <c r="C485" s="220">
        <v>0</v>
      </c>
      <c r="D485" s="220">
        <v>30</v>
      </c>
    </row>
    <row r="486" spans="1:4">
      <c r="A486" s="259" t="s">
        <v>1286</v>
      </c>
      <c r="B486" s="260" t="s">
        <v>1287</v>
      </c>
      <c r="C486" s="220">
        <v>3</v>
      </c>
      <c r="D486" s="220">
        <v>1</v>
      </c>
    </row>
    <row r="487" spans="1:4">
      <c r="A487" s="259" t="s">
        <v>1288</v>
      </c>
      <c r="B487" s="260" t="s">
        <v>1289</v>
      </c>
      <c r="C487" s="220">
        <v>5</v>
      </c>
      <c r="D487" s="220">
        <v>11</v>
      </c>
    </row>
    <row r="488" spans="1:4">
      <c r="A488" s="259" t="s">
        <v>1290</v>
      </c>
      <c r="B488" s="269" t="s">
        <v>1291</v>
      </c>
      <c r="C488" s="220">
        <v>0</v>
      </c>
      <c r="D488" s="220">
        <v>3</v>
      </c>
    </row>
    <row r="489" spans="1:4">
      <c r="A489" s="259" t="s">
        <v>1292</v>
      </c>
      <c r="B489" s="269" t="s">
        <v>1293</v>
      </c>
      <c r="C489" s="220">
        <v>49</v>
      </c>
      <c r="D489" s="220">
        <v>136</v>
      </c>
    </row>
    <row r="490" spans="1:4">
      <c r="A490" s="259" t="s">
        <v>1294</v>
      </c>
      <c r="B490" s="260" t="s">
        <v>1295</v>
      </c>
      <c r="C490" s="220">
        <v>3</v>
      </c>
      <c r="D490" s="220">
        <v>0</v>
      </c>
    </row>
    <row r="491" spans="1:4">
      <c r="A491" s="259" t="s">
        <v>1296</v>
      </c>
      <c r="B491" s="260" t="s">
        <v>1297</v>
      </c>
      <c r="C491" s="220">
        <v>3</v>
      </c>
      <c r="D491" s="220">
        <v>36</v>
      </c>
    </row>
    <row r="492" spans="1:4" ht="18.75">
      <c r="A492" s="258">
        <v>11</v>
      </c>
      <c r="B492" s="265" t="s">
        <v>1298</v>
      </c>
      <c r="C492" s="257">
        <v>0</v>
      </c>
      <c r="D492" s="257">
        <v>0</v>
      </c>
    </row>
    <row r="493" spans="1:4">
      <c r="A493" s="259" t="s">
        <v>1299</v>
      </c>
      <c r="B493" s="260" t="s">
        <v>1300</v>
      </c>
      <c r="C493" s="220">
        <v>0</v>
      </c>
      <c r="D493" s="220">
        <v>0</v>
      </c>
    </row>
    <row r="494" spans="1:4">
      <c r="A494" s="259" t="s">
        <v>1301</v>
      </c>
      <c r="B494" s="260" t="s">
        <v>1302</v>
      </c>
      <c r="C494" s="220">
        <v>0</v>
      </c>
      <c r="D494" s="220">
        <v>0</v>
      </c>
    </row>
    <row r="495" spans="1:4">
      <c r="A495" s="259" t="s">
        <v>1303</v>
      </c>
      <c r="B495" s="260" t="s">
        <v>1304</v>
      </c>
      <c r="C495" s="220">
        <v>0</v>
      </c>
      <c r="D495" s="220">
        <v>1</v>
      </c>
    </row>
    <row r="496" spans="1:4">
      <c r="A496" s="259" t="s">
        <v>1305</v>
      </c>
      <c r="B496" s="260" t="s">
        <v>1306</v>
      </c>
      <c r="C496" s="220">
        <v>0</v>
      </c>
      <c r="D496" s="220">
        <v>1</v>
      </c>
    </row>
    <row r="497" spans="1:4" ht="25.5">
      <c r="A497" s="259" t="s">
        <v>1307</v>
      </c>
      <c r="B497" s="260" t="s">
        <v>1308</v>
      </c>
      <c r="C497" s="220">
        <v>1</v>
      </c>
      <c r="D497" s="220">
        <v>4</v>
      </c>
    </row>
    <row r="498" spans="1:4" ht="25.5">
      <c r="A498" s="259" t="s">
        <v>1309</v>
      </c>
      <c r="B498" s="260" t="s">
        <v>1310</v>
      </c>
      <c r="C498" s="220">
        <v>0</v>
      </c>
      <c r="D498" s="220">
        <v>2</v>
      </c>
    </row>
    <row r="499" spans="1:4" ht="25.5">
      <c r="A499" s="259" t="s">
        <v>1311</v>
      </c>
      <c r="B499" s="260" t="s">
        <v>1312</v>
      </c>
      <c r="C499" s="220">
        <v>0</v>
      </c>
      <c r="D499" s="220">
        <v>1</v>
      </c>
    </row>
    <row r="500" spans="1:4">
      <c r="A500" s="259" t="s">
        <v>1313</v>
      </c>
      <c r="B500" s="260" t="s">
        <v>1314</v>
      </c>
      <c r="C500" s="220">
        <v>1</v>
      </c>
      <c r="D500" s="220">
        <v>1</v>
      </c>
    </row>
    <row r="501" spans="1:4">
      <c r="A501" s="259" t="s">
        <v>1315</v>
      </c>
      <c r="B501" s="260" t="s">
        <v>1316</v>
      </c>
      <c r="C501" s="220">
        <v>0</v>
      </c>
      <c r="D501" s="220">
        <v>0</v>
      </c>
    </row>
    <row r="502" spans="1:4">
      <c r="A502" s="259" t="s">
        <v>1317</v>
      </c>
      <c r="B502" s="260" t="s">
        <v>1318</v>
      </c>
      <c r="C502" s="220">
        <v>0</v>
      </c>
      <c r="D502" s="220">
        <v>5</v>
      </c>
    </row>
    <row r="503" spans="1:4">
      <c r="A503" s="259" t="s">
        <v>1319</v>
      </c>
      <c r="B503" s="260" t="s">
        <v>1320</v>
      </c>
      <c r="C503" s="220">
        <v>0</v>
      </c>
      <c r="D503" s="220">
        <v>3</v>
      </c>
    </row>
    <row r="504" spans="1:4">
      <c r="A504" s="259" t="s">
        <v>1321</v>
      </c>
      <c r="B504" s="260" t="s">
        <v>1322</v>
      </c>
      <c r="C504" s="220">
        <v>8</v>
      </c>
      <c r="D504" s="220">
        <v>5</v>
      </c>
    </row>
    <row r="505" spans="1:4">
      <c r="A505" s="259" t="s">
        <v>1323</v>
      </c>
      <c r="B505" s="260" t="s">
        <v>1324</v>
      </c>
      <c r="C505" s="220">
        <v>0</v>
      </c>
      <c r="D505" s="220">
        <v>0</v>
      </c>
    </row>
    <row r="506" spans="1:4">
      <c r="A506" s="259" t="s">
        <v>1325</v>
      </c>
      <c r="B506" s="260" t="s">
        <v>1326</v>
      </c>
      <c r="C506" s="220">
        <v>0</v>
      </c>
      <c r="D506" s="220">
        <v>0</v>
      </c>
    </row>
    <row r="507" spans="1:4">
      <c r="A507" s="259" t="s">
        <v>1327</v>
      </c>
      <c r="B507" s="260" t="s">
        <v>1328</v>
      </c>
      <c r="C507" s="220">
        <v>1</v>
      </c>
      <c r="D507" s="220">
        <v>1</v>
      </c>
    </row>
    <row r="508" spans="1:4">
      <c r="A508" s="259" t="s">
        <v>1329</v>
      </c>
      <c r="B508" s="260" t="s">
        <v>1330</v>
      </c>
      <c r="C508" s="220">
        <v>2</v>
      </c>
      <c r="D508" s="220">
        <v>1</v>
      </c>
    </row>
    <row r="509" spans="1:4">
      <c r="A509" s="259" t="s">
        <v>1331</v>
      </c>
      <c r="B509" s="260" t="s">
        <v>1332</v>
      </c>
      <c r="C509" s="220">
        <v>0</v>
      </c>
      <c r="D509" s="220">
        <v>0</v>
      </c>
    </row>
    <row r="510" spans="1:4">
      <c r="A510" s="259" t="s">
        <v>1333</v>
      </c>
      <c r="B510" s="260" t="s">
        <v>1334</v>
      </c>
      <c r="C510" s="220">
        <v>0</v>
      </c>
      <c r="D510" s="220">
        <v>1</v>
      </c>
    </row>
    <row r="511" spans="1:4">
      <c r="A511" s="259" t="s">
        <v>1335</v>
      </c>
      <c r="B511" s="260" t="s">
        <v>1336</v>
      </c>
      <c r="C511" s="220">
        <v>0</v>
      </c>
      <c r="D511" s="220">
        <v>2</v>
      </c>
    </row>
    <row r="512" spans="1:4">
      <c r="A512" s="259" t="s">
        <v>1337</v>
      </c>
      <c r="B512" s="260" t="s">
        <v>1338</v>
      </c>
      <c r="C512" s="220">
        <v>0</v>
      </c>
      <c r="D512" s="220">
        <v>0</v>
      </c>
    </row>
    <row r="513" spans="1:4">
      <c r="A513" s="259" t="s">
        <v>1339</v>
      </c>
      <c r="B513" s="260" t="s">
        <v>1340</v>
      </c>
      <c r="C513" s="220">
        <v>0</v>
      </c>
      <c r="D513" s="220">
        <v>0</v>
      </c>
    </row>
    <row r="514" spans="1:4">
      <c r="A514" s="259" t="s">
        <v>1341</v>
      </c>
      <c r="B514" s="260" t="s">
        <v>1342</v>
      </c>
      <c r="C514" s="220">
        <v>0</v>
      </c>
      <c r="D514" s="220">
        <v>0</v>
      </c>
    </row>
    <row r="515" spans="1:4">
      <c r="A515" s="259" t="s">
        <v>1343</v>
      </c>
      <c r="B515" s="260" t="s">
        <v>1344</v>
      </c>
      <c r="C515" s="220">
        <v>2</v>
      </c>
      <c r="D515" s="220">
        <v>20</v>
      </c>
    </row>
    <row r="516" spans="1:4">
      <c r="A516" s="259" t="s">
        <v>1345</v>
      </c>
      <c r="B516" s="260" t="s">
        <v>1346</v>
      </c>
      <c r="C516" s="220">
        <v>5</v>
      </c>
      <c r="D516" s="220">
        <v>35</v>
      </c>
    </row>
    <row r="517" spans="1:4">
      <c r="A517" s="259" t="s">
        <v>1347</v>
      </c>
      <c r="B517" s="260" t="s">
        <v>1348</v>
      </c>
      <c r="C517" s="220">
        <v>20</v>
      </c>
      <c r="D517" s="220">
        <v>227</v>
      </c>
    </row>
    <row r="518" spans="1:4">
      <c r="A518" s="259" t="s">
        <v>1349</v>
      </c>
      <c r="B518" s="260" t="s">
        <v>1350</v>
      </c>
      <c r="C518" s="220">
        <v>0</v>
      </c>
      <c r="D518" s="220">
        <v>0</v>
      </c>
    </row>
    <row r="519" spans="1:4">
      <c r="A519" s="259" t="s">
        <v>1351</v>
      </c>
      <c r="B519" s="260" t="s">
        <v>1352</v>
      </c>
      <c r="C519" s="220">
        <v>3</v>
      </c>
      <c r="D519" s="220">
        <v>7</v>
      </c>
    </row>
    <row r="520" spans="1:4">
      <c r="A520" s="259" t="s">
        <v>1353</v>
      </c>
      <c r="B520" s="260" t="s">
        <v>1354</v>
      </c>
      <c r="C520" s="220">
        <v>20</v>
      </c>
      <c r="D520" s="220">
        <v>22</v>
      </c>
    </row>
    <row r="521" spans="1:4">
      <c r="A521" s="259" t="s">
        <v>1355</v>
      </c>
      <c r="B521" s="260" t="s">
        <v>1356</v>
      </c>
      <c r="C521" s="220">
        <v>8</v>
      </c>
      <c r="D521" s="220">
        <v>27</v>
      </c>
    </row>
    <row r="522" spans="1:4">
      <c r="A522" s="259" t="s">
        <v>1357</v>
      </c>
      <c r="B522" s="260" t="s">
        <v>1358</v>
      </c>
      <c r="C522" s="220">
        <v>60</v>
      </c>
      <c r="D522" s="220">
        <v>323</v>
      </c>
    </row>
    <row r="523" spans="1:4">
      <c r="A523" s="259" t="s">
        <v>1359</v>
      </c>
      <c r="B523" s="260" t="s">
        <v>1360</v>
      </c>
      <c r="C523" s="220">
        <v>131</v>
      </c>
      <c r="D523" s="220">
        <v>573</v>
      </c>
    </row>
    <row r="524" spans="1:4">
      <c r="A524" s="259" t="s">
        <v>1361</v>
      </c>
      <c r="B524" s="260" t="s">
        <v>1362</v>
      </c>
      <c r="C524" s="220">
        <v>5</v>
      </c>
      <c r="D524" s="220">
        <v>6</v>
      </c>
    </row>
    <row r="525" spans="1:4">
      <c r="A525" s="259" t="s">
        <v>1363</v>
      </c>
      <c r="B525" s="260" t="s">
        <v>1364</v>
      </c>
      <c r="C525" s="220">
        <v>33</v>
      </c>
      <c r="D525" s="220">
        <v>66</v>
      </c>
    </row>
    <row r="526" spans="1:4">
      <c r="A526" s="259" t="s">
        <v>1365</v>
      </c>
      <c r="B526" s="260" t="s">
        <v>1366</v>
      </c>
      <c r="C526" s="220">
        <v>2</v>
      </c>
      <c r="D526" s="220">
        <v>4</v>
      </c>
    </row>
    <row r="527" spans="1:4">
      <c r="A527" s="259" t="s">
        <v>1367</v>
      </c>
      <c r="B527" s="260" t="s">
        <v>1368</v>
      </c>
      <c r="C527" s="220">
        <v>6</v>
      </c>
      <c r="D527" s="220">
        <v>49</v>
      </c>
    </row>
    <row r="528" spans="1:4">
      <c r="A528" s="259" t="s">
        <v>1369</v>
      </c>
      <c r="B528" s="260" t="s">
        <v>1370</v>
      </c>
      <c r="C528" s="220">
        <v>23</v>
      </c>
      <c r="D528" s="220">
        <v>189</v>
      </c>
    </row>
    <row r="529" spans="1:4">
      <c r="A529" s="259" t="s">
        <v>1371</v>
      </c>
      <c r="B529" s="261" t="s">
        <v>1372</v>
      </c>
      <c r="C529" s="220">
        <v>0</v>
      </c>
      <c r="D529" s="220">
        <v>0</v>
      </c>
    </row>
    <row r="530" spans="1:4" ht="18.75">
      <c r="A530" s="258">
        <v>12</v>
      </c>
      <c r="B530" s="265" t="s">
        <v>1373</v>
      </c>
      <c r="C530" s="257">
        <v>0</v>
      </c>
      <c r="D530" s="257">
        <v>0</v>
      </c>
    </row>
    <row r="531" spans="1:4">
      <c r="A531" s="259" t="s">
        <v>1374</v>
      </c>
      <c r="B531" s="269" t="s">
        <v>1375</v>
      </c>
      <c r="C531" s="220">
        <v>2</v>
      </c>
      <c r="D531" s="220">
        <v>6</v>
      </c>
    </row>
    <row r="532" spans="1:4">
      <c r="A532" s="259" t="s">
        <v>1376</v>
      </c>
      <c r="B532" s="269" t="s">
        <v>1377</v>
      </c>
      <c r="C532" s="220">
        <v>7</v>
      </c>
      <c r="D532" s="220">
        <v>15</v>
      </c>
    </row>
    <row r="533" spans="1:4">
      <c r="A533" s="259" t="s">
        <v>1378</v>
      </c>
      <c r="B533" s="260" t="s">
        <v>1379</v>
      </c>
      <c r="C533" s="220">
        <v>0</v>
      </c>
      <c r="D533" s="220">
        <v>1</v>
      </c>
    </row>
    <row r="534" spans="1:4">
      <c r="A534" s="259" t="s">
        <v>1380</v>
      </c>
      <c r="B534" s="260" t="s">
        <v>1381</v>
      </c>
      <c r="C534" s="220">
        <v>0</v>
      </c>
      <c r="D534" s="220">
        <v>5</v>
      </c>
    </row>
    <row r="535" spans="1:4">
      <c r="A535" s="259" t="s">
        <v>1382</v>
      </c>
      <c r="B535" s="260" t="s">
        <v>1383</v>
      </c>
      <c r="C535" s="220">
        <v>2</v>
      </c>
      <c r="D535" s="220">
        <v>6</v>
      </c>
    </row>
    <row r="536" spans="1:4">
      <c r="A536" s="259" t="s">
        <v>1384</v>
      </c>
      <c r="B536" s="261" t="s">
        <v>1385</v>
      </c>
      <c r="C536" s="220">
        <v>22</v>
      </c>
      <c r="D536" s="220">
        <v>42</v>
      </c>
    </row>
    <row r="537" spans="1:4">
      <c r="A537" s="259" t="s">
        <v>1386</v>
      </c>
      <c r="B537" s="260" t="s">
        <v>1387</v>
      </c>
      <c r="C537" s="220">
        <v>6</v>
      </c>
      <c r="D537" s="220">
        <v>25</v>
      </c>
    </row>
    <row r="538" spans="1:4">
      <c r="A538" s="259" t="s">
        <v>1388</v>
      </c>
      <c r="B538" s="260" t="s">
        <v>1389</v>
      </c>
      <c r="C538" s="220">
        <v>0</v>
      </c>
      <c r="D538" s="220">
        <v>9</v>
      </c>
    </row>
    <row r="539" spans="1:4">
      <c r="A539" s="259" t="s">
        <v>1390</v>
      </c>
      <c r="B539" s="260" t="s">
        <v>1391</v>
      </c>
      <c r="C539" s="220">
        <v>14</v>
      </c>
      <c r="D539" s="220">
        <v>31</v>
      </c>
    </row>
    <row r="540" spans="1:4">
      <c r="A540" s="259" t="s">
        <v>1392</v>
      </c>
      <c r="B540" s="260" t="s">
        <v>1393</v>
      </c>
      <c r="C540" s="220">
        <v>0</v>
      </c>
      <c r="D540" s="220">
        <v>0</v>
      </c>
    </row>
    <row r="541" spans="1:4">
      <c r="A541" s="259" t="s">
        <v>1394</v>
      </c>
      <c r="B541" s="260" t="s">
        <v>1395</v>
      </c>
      <c r="C541" s="220">
        <v>2</v>
      </c>
      <c r="D541" s="220">
        <v>7</v>
      </c>
    </row>
    <row r="542" spans="1:4">
      <c r="A542" s="259" t="s">
        <v>1396</v>
      </c>
      <c r="B542" s="260" t="s">
        <v>1397</v>
      </c>
      <c r="C542" s="220">
        <v>36</v>
      </c>
      <c r="D542" s="220">
        <v>49</v>
      </c>
    </row>
    <row r="543" spans="1:4">
      <c r="A543" s="259" t="s">
        <v>1398</v>
      </c>
      <c r="B543" s="269" t="s">
        <v>1399</v>
      </c>
      <c r="C543" s="220">
        <v>5</v>
      </c>
      <c r="D543" s="220">
        <v>15</v>
      </c>
    </row>
    <row r="544" spans="1:4">
      <c r="A544" s="259" t="s">
        <v>1400</v>
      </c>
      <c r="B544" s="261" t="s">
        <v>1401</v>
      </c>
      <c r="C544" s="220">
        <v>13</v>
      </c>
      <c r="D544" s="220">
        <v>21</v>
      </c>
    </row>
    <row r="545" spans="1:4">
      <c r="A545" s="259" t="s">
        <v>1402</v>
      </c>
      <c r="B545" s="260" t="s">
        <v>1403</v>
      </c>
      <c r="C545" s="220">
        <v>0</v>
      </c>
      <c r="D545" s="220">
        <v>0</v>
      </c>
    </row>
    <row r="546" spans="1:4">
      <c r="A546" s="259" t="s">
        <v>1404</v>
      </c>
      <c r="B546" s="260" t="s">
        <v>1405</v>
      </c>
      <c r="C546" s="220">
        <v>4</v>
      </c>
      <c r="D546" s="220">
        <v>8</v>
      </c>
    </row>
    <row r="547" spans="1:4" ht="18.75">
      <c r="A547" s="258">
        <v>13</v>
      </c>
      <c r="B547" s="265" t="s">
        <v>1406</v>
      </c>
      <c r="C547" s="257">
        <v>0</v>
      </c>
      <c r="D547" s="257">
        <v>0</v>
      </c>
    </row>
    <row r="548" spans="1:4">
      <c r="A548" s="259" t="s">
        <v>1407</v>
      </c>
      <c r="B548" s="260" t="s">
        <v>1408</v>
      </c>
      <c r="C548" s="220">
        <v>0</v>
      </c>
      <c r="D548" s="220">
        <v>0</v>
      </c>
    </row>
    <row r="549" spans="1:4">
      <c r="A549" s="259" t="s">
        <v>1409</v>
      </c>
      <c r="B549" s="260" t="s">
        <v>1410</v>
      </c>
      <c r="C549" s="220">
        <v>1</v>
      </c>
      <c r="D549" s="220">
        <v>2</v>
      </c>
    </row>
    <row r="550" spans="1:4">
      <c r="A550" s="259" t="s">
        <v>1411</v>
      </c>
      <c r="B550" s="260" t="s">
        <v>1412</v>
      </c>
      <c r="C550" s="220">
        <v>5</v>
      </c>
      <c r="D550" s="220">
        <v>20</v>
      </c>
    </row>
    <row r="551" spans="1:4" ht="25.5">
      <c r="A551" s="259" t="s">
        <v>1413</v>
      </c>
      <c r="B551" s="260" t="s">
        <v>1414</v>
      </c>
      <c r="C551" s="220">
        <v>0</v>
      </c>
      <c r="D551" s="220">
        <v>2</v>
      </c>
    </row>
    <row r="552" spans="1:4" ht="25.5">
      <c r="A552" s="259" t="s">
        <v>1415</v>
      </c>
      <c r="B552" s="260" t="s">
        <v>1416</v>
      </c>
      <c r="C552" s="220">
        <v>0</v>
      </c>
      <c r="D552" s="220">
        <v>10</v>
      </c>
    </row>
    <row r="553" spans="1:4" ht="25.5">
      <c r="A553" s="259" t="s">
        <v>1417</v>
      </c>
      <c r="B553" s="260" t="s">
        <v>1418</v>
      </c>
      <c r="C553" s="220">
        <v>0</v>
      </c>
      <c r="D553" s="220">
        <v>2</v>
      </c>
    </row>
    <row r="554" spans="1:4" ht="25.5">
      <c r="A554" s="259" t="s">
        <v>1419</v>
      </c>
      <c r="B554" s="260" t="s">
        <v>1420</v>
      </c>
      <c r="C554" s="220">
        <v>7</v>
      </c>
      <c r="D554" s="220">
        <v>22</v>
      </c>
    </row>
    <row r="555" spans="1:4">
      <c r="A555" s="259" t="s">
        <v>1421</v>
      </c>
      <c r="B555" s="260" t="s">
        <v>1422</v>
      </c>
      <c r="C555" s="220">
        <v>2</v>
      </c>
      <c r="D555" s="220">
        <v>5</v>
      </c>
    </row>
    <row r="556" spans="1:4">
      <c r="A556" s="259" t="s">
        <v>1423</v>
      </c>
      <c r="B556" s="260" t="s">
        <v>1424</v>
      </c>
      <c r="C556" s="220">
        <v>0</v>
      </c>
      <c r="D556" s="220">
        <v>0</v>
      </c>
    </row>
    <row r="557" spans="1:4">
      <c r="A557" s="259" t="s">
        <v>1425</v>
      </c>
      <c r="B557" s="260" t="s">
        <v>1426</v>
      </c>
      <c r="C557" s="220">
        <v>19</v>
      </c>
      <c r="D557" s="220">
        <v>120</v>
      </c>
    </row>
    <row r="558" spans="1:4">
      <c r="A558" s="259" t="s">
        <v>1427</v>
      </c>
      <c r="B558" s="260" t="s">
        <v>1428</v>
      </c>
      <c r="C558" s="220">
        <v>6</v>
      </c>
      <c r="D558" s="220">
        <v>72</v>
      </c>
    </row>
    <row r="559" spans="1:4">
      <c r="A559" s="259" t="s">
        <v>1429</v>
      </c>
      <c r="B559" s="260" t="s">
        <v>1430</v>
      </c>
      <c r="C559" s="220">
        <v>1</v>
      </c>
      <c r="D559" s="220">
        <v>9</v>
      </c>
    </row>
    <row r="560" spans="1:4">
      <c r="A560" s="264" t="s">
        <v>1431</v>
      </c>
      <c r="B560" s="269" t="s">
        <v>1432</v>
      </c>
      <c r="C560" s="220">
        <v>12</v>
      </c>
      <c r="D560" s="220">
        <v>0</v>
      </c>
    </row>
    <row r="561" spans="1:4">
      <c r="A561" s="264" t="s">
        <v>1433</v>
      </c>
      <c r="B561" s="269" t="s">
        <v>1434</v>
      </c>
      <c r="C561" s="220">
        <v>9</v>
      </c>
      <c r="D561" s="220">
        <v>16</v>
      </c>
    </row>
    <row r="562" spans="1:4">
      <c r="A562" s="259" t="s">
        <v>1435</v>
      </c>
      <c r="B562" s="260" t="s">
        <v>1436</v>
      </c>
      <c r="C562" s="220">
        <v>0</v>
      </c>
      <c r="D562" s="220">
        <v>16</v>
      </c>
    </row>
    <row r="563" spans="1:4">
      <c r="A563" s="259" t="s">
        <v>1437</v>
      </c>
      <c r="B563" s="260" t="s">
        <v>1438</v>
      </c>
      <c r="C563" s="220">
        <v>51</v>
      </c>
      <c r="D563" s="220">
        <v>336</v>
      </c>
    </row>
    <row r="564" spans="1:4">
      <c r="A564" s="259" t="s">
        <v>1439</v>
      </c>
      <c r="B564" s="260" t="s">
        <v>1440</v>
      </c>
      <c r="C564" s="220">
        <v>27</v>
      </c>
      <c r="D564" s="220">
        <v>79</v>
      </c>
    </row>
    <row r="565" spans="1:4">
      <c r="A565" s="259" t="s">
        <v>1441</v>
      </c>
      <c r="B565" s="269" t="s">
        <v>1442</v>
      </c>
      <c r="C565" s="220">
        <v>163</v>
      </c>
      <c r="D565" s="220">
        <v>104</v>
      </c>
    </row>
    <row r="566" spans="1:4" ht="18.75">
      <c r="A566" s="258">
        <v>14</v>
      </c>
      <c r="B566" s="265" t="s">
        <v>1443</v>
      </c>
      <c r="C566" s="257">
        <v>0</v>
      </c>
      <c r="D566" s="257">
        <v>0</v>
      </c>
    </row>
    <row r="567" spans="1:4">
      <c r="A567" s="259" t="s">
        <v>1444</v>
      </c>
      <c r="B567" s="260" t="s">
        <v>1445</v>
      </c>
      <c r="C567" s="220">
        <v>7</v>
      </c>
      <c r="D567" s="220">
        <v>6</v>
      </c>
    </row>
    <row r="568" spans="1:4">
      <c r="A568" s="259" t="s">
        <v>1446</v>
      </c>
      <c r="B568" s="260" t="s">
        <v>1447</v>
      </c>
      <c r="C568" s="220">
        <v>70</v>
      </c>
      <c r="D568" s="220">
        <v>56</v>
      </c>
    </row>
    <row r="569" spans="1:4">
      <c r="A569" s="259" t="s">
        <v>1448</v>
      </c>
      <c r="B569" s="260" t="s">
        <v>1449</v>
      </c>
      <c r="C569" s="220">
        <v>0</v>
      </c>
      <c r="D569" s="220">
        <v>6</v>
      </c>
    </row>
    <row r="570" spans="1:4">
      <c r="A570" s="259" t="s">
        <v>1450</v>
      </c>
      <c r="B570" s="260" t="s">
        <v>1451</v>
      </c>
      <c r="C570" s="220">
        <v>0</v>
      </c>
      <c r="D570" s="220">
        <v>2</v>
      </c>
    </row>
    <row r="571" spans="1:4">
      <c r="A571" s="259" t="s">
        <v>1452</v>
      </c>
      <c r="B571" s="269" t="s">
        <v>1453</v>
      </c>
      <c r="C571" s="220">
        <v>0</v>
      </c>
      <c r="D571" s="220">
        <v>0</v>
      </c>
    </row>
    <row r="572" spans="1:4">
      <c r="A572" s="259" t="s">
        <v>1454</v>
      </c>
      <c r="B572" s="269" t="s">
        <v>1455</v>
      </c>
      <c r="C572" s="220">
        <v>0</v>
      </c>
      <c r="D572" s="220">
        <v>2</v>
      </c>
    </row>
    <row r="573" spans="1:4" ht="25.5">
      <c r="A573" s="259" t="s">
        <v>1456</v>
      </c>
      <c r="B573" s="269" t="s">
        <v>1457</v>
      </c>
      <c r="C573" s="220">
        <v>0</v>
      </c>
      <c r="D573" s="220">
        <v>0</v>
      </c>
    </row>
    <row r="574" spans="1:4" ht="25.5">
      <c r="A574" s="259" t="s">
        <v>1458</v>
      </c>
      <c r="B574" s="269" t="s">
        <v>1459</v>
      </c>
      <c r="C574" s="220">
        <v>1</v>
      </c>
      <c r="D574" s="220">
        <v>2</v>
      </c>
    </row>
    <row r="575" spans="1:4">
      <c r="A575" s="259" t="s">
        <v>1460</v>
      </c>
      <c r="B575" s="260" t="s">
        <v>1461</v>
      </c>
      <c r="C575" s="220">
        <v>7</v>
      </c>
      <c r="D575" s="220">
        <v>34</v>
      </c>
    </row>
    <row r="576" spans="1:4">
      <c r="A576" s="270" t="s">
        <v>1462</v>
      </c>
      <c r="B576" s="271" t="s">
        <v>1463</v>
      </c>
      <c r="C576" s="220">
        <v>64</v>
      </c>
      <c r="D576" s="220">
        <v>108</v>
      </c>
    </row>
    <row r="577" spans="1:4">
      <c r="A577" s="270" t="s">
        <v>1464</v>
      </c>
      <c r="B577" s="271" t="s">
        <v>1465</v>
      </c>
      <c r="C577" s="220">
        <v>0</v>
      </c>
      <c r="D577" s="220">
        <v>6</v>
      </c>
    </row>
    <row r="578" spans="1:4">
      <c r="A578" s="270" t="s">
        <v>1466</v>
      </c>
      <c r="B578" s="271" t="s">
        <v>1467</v>
      </c>
      <c r="C578" s="220">
        <v>30</v>
      </c>
      <c r="D578" s="220">
        <v>6</v>
      </c>
    </row>
    <row r="579" spans="1:4">
      <c r="A579" s="270" t="s">
        <v>1468</v>
      </c>
      <c r="B579" s="271" t="s">
        <v>1469</v>
      </c>
      <c r="C579" s="220">
        <v>8</v>
      </c>
      <c r="D579" s="220">
        <v>70</v>
      </c>
    </row>
    <row r="580" spans="1:4">
      <c r="A580" s="270" t="s">
        <v>1470</v>
      </c>
      <c r="B580" s="271" t="s">
        <v>1471</v>
      </c>
      <c r="C580" s="220">
        <v>139</v>
      </c>
      <c r="D580" s="220">
        <v>200</v>
      </c>
    </row>
    <row r="581" spans="1:4" ht="18.75">
      <c r="A581" s="258">
        <v>15</v>
      </c>
      <c r="B581" s="265" t="s">
        <v>1472</v>
      </c>
      <c r="C581" s="257">
        <v>0</v>
      </c>
      <c r="D581" s="257">
        <v>0</v>
      </c>
    </row>
    <row r="582" spans="1:4" ht="25.5">
      <c r="A582" s="259" t="s">
        <v>1473</v>
      </c>
      <c r="B582" s="260" t="s">
        <v>1474</v>
      </c>
      <c r="C582" s="220">
        <v>0</v>
      </c>
      <c r="D582" s="220">
        <v>0</v>
      </c>
    </row>
    <row r="583" spans="1:4">
      <c r="A583" s="259" t="s">
        <v>1475</v>
      </c>
      <c r="B583" s="260" t="s">
        <v>1476</v>
      </c>
      <c r="C583" s="220">
        <v>0</v>
      </c>
      <c r="D583" s="220">
        <v>0</v>
      </c>
    </row>
    <row r="584" spans="1:4">
      <c r="A584" s="259" t="s">
        <v>1477</v>
      </c>
      <c r="B584" s="260" t="s">
        <v>1478</v>
      </c>
      <c r="C584" s="220">
        <v>0</v>
      </c>
      <c r="D584" s="220">
        <v>0</v>
      </c>
    </row>
    <row r="585" spans="1:4">
      <c r="A585" s="259" t="s">
        <v>1479</v>
      </c>
      <c r="B585" s="260" t="s">
        <v>1480</v>
      </c>
      <c r="C585" s="220">
        <v>0</v>
      </c>
      <c r="D585" s="220">
        <v>0</v>
      </c>
    </row>
    <row r="586" spans="1:4">
      <c r="A586" s="259" t="s">
        <v>1481</v>
      </c>
      <c r="B586" s="260" t="s">
        <v>1482</v>
      </c>
      <c r="C586" s="220">
        <v>0</v>
      </c>
      <c r="D586" s="220">
        <v>0</v>
      </c>
    </row>
    <row r="587" spans="1:4" ht="25.5">
      <c r="A587" s="259" t="s">
        <v>1483</v>
      </c>
      <c r="B587" s="260" t="s">
        <v>1484</v>
      </c>
      <c r="C587" s="220">
        <v>0</v>
      </c>
      <c r="D587" s="220">
        <v>0</v>
      </c>
    </row>
    <row r="588" spans="1:4" ht="25.5">
      <c r="A588" s="259" t="s">
        <v>1485</v>
      </c>
      <c r="B588" s="260" t="s">
        <v>1486</v>
      </c>
      <c r="C588" s="220">
        <v>0</v>
      </c>
      <c r="D588" s="220">
        <v>2</v>
      </c>
    </row>
    <row r="589" spans="1:4" ht="25.5">
      <c r="A589" s="259" t="s">
        <v>1487</v>
      </c>
      <c r="B589" s="260" t="s">
        <v>1488</v>
      </c>
      <c r="C589" s="220">
        <v>0</v>
      </c>
      <c r="D589" s="220">
        <v>0</v>
      </c>
    </row>
    <row r="590" spans="1:4" ht="25.5">
      <c r="A590" s="259" t="s">
        <v>1489</v>
      </c>
      <c r="B590" s="260" t="s">
        <v>1490</v>
      </c>
      <c r="C590" s="220">
        <v>0</v>
      </c>
      <c r="D590" s="220">
        <v>1</v>
      </c>
    </row>
    <row r="591" spans="1:4">
      <c r="A591" s="259" t="s">
        <v>1491</v>
      </c>
      <c r="B591" s="260" t="s">
        <v>1492</v>
      </c>
      <c r="C591" s="220">
        <v>0</v>
      </c>
      <c r="D591" s="220">
        <v>0</v>
      </c>
    </row>
    <row r="592" spans="1:4">
      <c r="A592" s="259" t="s">
        <v>1493</v>
      </c>
      <c r="B592" s="260" t="s">
        <v>1494</v>
      </c>
      <c r="C592" s="220">
        <v>0</v>
      </c>
      <c r="D592" s="220">
        <v>0</v>
      </c>
    </row>
    <row r="593" spans="1:4">
      <c r="A593" s="259" t="s">
        <v>1495</v>
      </c>
      <c r="B593" s="260" t="s">
        <v>1496</v>
      </c>
      <c r="C593" s="220">
        <v>0</v>
      </c>
      <c r="D593" s="220">
        <v>0</v>
      </c>
    </row>
    <row r="594" spans="1:4">
      <c r="A594" s="259" t="s">
        <v>1497</v>
      </c>
      <c r="B594" s="260" t="s">
        <v>1498</v>
      </c>
      <c r="C594" s="220">
        <v>0</v>
      </c>
      <c r="D594" s="220">
        <v>0</v>
      </c>
    </row>
    <row r="595" spans="1:4" ht="25.5">
      <c r="A595" s="259" t="s">
        <v>1499</v>
      </c>
      <c r="B595" s="260" t="s">
        <v>1500</v>
      </c>
      <c r="C595" s="220">
        <v>0</v>
      </c>
      <c r="D595" s="220">
        <v>0</v>
      </c>
    </row>
    <row r="596" spans="1:4" ht="25.5">
      <c r="A596" s="259" t="s">
        <v>1501</v>
      </c>
      <c r="B596" s="260" t="s">
        <v>1502</v>
      </c>
      <c r="C596" s="220">
        <v>0</v>
      </c>
      <c r="D596" s="220">
        <v>0</v>
      </c>
    </row>
    <row r="597" spans="1:4" ht="25.5">
      <c r="A597" s="259" t="s">
        <v>1503</v>
      </c>
      <c r="B597" s="260" t="s">
        <v>1504</v>
      </c>
      <c r="C597" s="220">
        <v>0</v>
      </c>
      <c r="D597" s="220">
        <v>0</v>
      </c>
    </row>
    <row r="598" spans="1:4" ht="25.5">
      <c r="A598" s="259" t="s">
        <v>1505</v>
      </c>
      <c r="B598" s="260" t="s">
        <v>1506</v>
      </c>
      <c r="C598" s="220">
        <v>0</v>
      </c>
      <c r="D598" s="220">
        <v>0</v>
      </c>
    </row>
    <row r="599" spans="1:4" ht="25.5">
      <c r="A599" s="259" t="s">
        <v>1507</v>
      </c>
      <c r="B599" s="260" t="s">
        <v>1508</v>
      </c>
      <c r="C599" s="220">
        <v>0</v>
      </c>
      <c r="D599" s="220">
        <v>0</v>
      </c>
    </row>
    <row r="600" spans="1:4" ht="25.5">
      <c r="A600" s="259" t="s">
        <v>1509</v>
      </c>
      <c r="B600" s="260" t="s">
        <v>1510</v>
      </c>
      <c r="C600" s="220">
        <v>0</v>
      </c>
      <c r="D600" s="220">
        <v>0</v>
      </c>
    </row>
    <row r="601" spans="1:4" ht="25.5">
      <c r="A601" s="259" t="s">
        <v>1511</v>
      </c>
      <c r="B601" s="260" t="s">
        <v>1512</v>
      </c>
      <c r="C601" s="220">
        <v>0</v>
      </c>
      <c r="D601" s="220">
        <v>0</v>
      </c>
    </row>
    <row r="602" spans="1:4" ht="25.5">
      <c r="A602" s="259" t="s">
        <v>1513</v>
      </c>
      <c r="B602" s="260" t="s">
        <v>1514</v>
      </c>
      <c r="C602" s="220">
        <v>0</v>
      </c>
      <c r="D602" s="220">
        <v>0</v>
      </c>
    </row>
    <row r="603" spans="1:4" ht="25.5">
      <c r="A603" s="259" t="s">
        <v>1515</v>
      </c>
      <c r="B603" s="260" t="s">
        <v>1516</v>
      </c>
      <c r="C603" s="220">
        <v>0</v>
      </c>
      <c r="D603" s="220">
        <v>5</v>
      </c>
    </row>
    <row r="604" spans="1:4" ht="25.5">
      <c r="A604" s="259" t="s">
        <v>1517</v>
      </c>
      <c r="B604" s="260" t="s">
        <v>1518</v>
      </c>
      <c r="C604" s="220">
        <v>3</v>
      </c>
      <c r="D604" s="220">
        <v>13</v>
      </c>
    </row>
    <row r="605" spans="1:4" ht="25.5">
      <c r="A605" s="259" t="s">
        <v>1519</v>
      </c>
      <c r="B605" s="260" t="s">
        <v>1520</v>
      </c>
      <c r="C605" s="220">
        <v>2</v>
      </c>
      <c r="D605" s="220">
        <v>12</v>
      </c>
    </row>
    <row r="606" spans="1:4" ht="25.5">
      <c r="A606" s="259" t="s">
        <v>1521</v>
      </c>
      <c r="B606" s="260" t="s">
        <v>1522</v>
      </c>
      <c r="C606" s="220">
        <v>0</v>
      </c>
      <c r="D606" s="220">
        <v>5</v>
      </c>
    </row>
    <row r="607" spans="1:4" ht="37.5">
      <c r="A607" s="258">
        <v>16</v>
      </c>
      <c r="B607" s="265" t="s">
        <v>1523</v>
      </c>
      <c r="C607" s="257">
        <v>0</v>
      </c>
      <c r="D607" s="257">
        <v>0</v>
      </c>
    </row>
    <row r="608" spans="1:4">
      <c r="A608" s="259" t="s">
        <v>1524</v>
      </c>
      <c r="B608" s="260" t="s">
        <v>1525</v>
      </c>
      <c r="C608" s="220">
        <v>0</v>
      </c>
      <c r="D608" s="220">
        <v>0</v>
      </c>
    </row>
    <row r="609" spans="1:4" ht="25.5">
      <c r="A609" s="259" t="s">
        <v>1526</v>
      </c>
      <c r="B609" s="260" t="s">
        <v>1527</v>
      </c>
      <c r="C609" s="220">
        <v>0</v>
      </c>
      <c r="D609" s="220">
        <v>0</v>
      </c>
    </row>
    <row r="610" spans="1:4" ht="25.5">
      <c r="A610" s="259" t="s">
        <v>1528</v>
      </c>
      <c r="B610" s="260" t="s">
        <v>1529</v>
      </c>
      <c r="C610" s="220">
        <v>1</v>
      </c>
      <c r="D610" s="220">
        <v>0</v>
      </c>
    </row>
    <row r="611" spans="1:4">
      <c r="A611" s="259" t="s">
        <v>1530</v>
      </c>
      <c r="B611" s="260" t="s">
        <v>1531</v>
      </c>
      <c r="C611" s="220">
        <v>0</v>
      </c>
      <c r="D611" s="220">
        <v>1</v>
      </c>
    </row>
    <row r="612" spans="1:4" ht="25.5">
      <c r="A612" s="259" t="s">
        <v>1532</v>
      </c>
      <c r="B612" s="260" t="s">
        <v>1533</v>
      </c>
      <c r="C612" s="220">
        <v>8</v>
      </c>
      <c r="D612" s="220">
        <v>1</v>
      </c>
    </row>
    <row r="613" spans="1:4" ht="25.5">
      <c r="A613" s="259" t="s">
        <v>1534</v>
      </c>
      <c r="B613" s="260" t="s">
        <v>1535</v>
      </c>
      <c r="C613" s="220">
        <v>12</v>
      </c>
      <c r="D613" s="220">
        <v>42</v>
      </c>
    </row>
    <row r="614" spans="1:4">
      <c r="A614" s="259" t="s">
        <v>1536</v>
      </c>
      <c r="B614" s="260" t="s">
        <v>1537</v>
      </c>
      <c r="C614" s="220">
        <v>54</v>
      </c>
      <c r="D614" s="220">
        <v>8</v>
      </c>
    </row>
    <row r="615" spans="1:4">
      <c r="A615" s="259" t="s">
        <v>1538</v>
      </c>
      <c r="B615" s="260" t="s">
        <v>1539</v>
      </c>
      <c r="C615" s="220">
        <v>146</v>
      </c>
      <c r="D615" s="220">
        <v>85</v>
      </c>
    </row>
    <row r="616" spans="1:4">
      <c r="A616" s="259" t="s">
        <v>1540</v>
      </c>
      <c r="B616" s="260" t="s">
        <v>1541</v>
      </c>
      <c r="C616" s="220">
        <v>9</v>
      </c>
      <c r="D616" s="220">
        <v>15</v>
      </c>
    </row>
    <row r="617" spans="1:4" ht="23.25">
      <c r="A617" s="272">
        <v>17</v>
      </c>
      <c r="B617" s="265" t="s">
        <v>1542</v>
      </c>
      <c r="C617" s="257">
        <v>0</v>
      </c>
      <c r="D617" s="257">
        <v>0</v>
      </c>
    </row>
    <row r="618" spans="1:4">
      <c r="A618" s="259" t="s">
        <v>1543</v>
      </c>
      <c r="B618" s="261" t="s">
        <v>1544</v>
      </c>
      <c r="C618" s="220">
        <v>0</v>
      </c>
      <c r="D618" s="220">
        <v>0</v>
      </c>
    </row>
    <row r="619" spans="1:4">
      <c r="A619" s="259" t="s">
        <v>1545</v>
      </c>
      <c r="B619" s="260" t="s">
        <v>1546</v>
      </c>
      <c r="C619" s="220">
        <v>0</v>
      </c>
      <c r="D619" s="220">
        <v>0</v>
      </c>
    </row>
    <row r="620" spans="1:4">
      <c r="A620" s="259" t="s">
        <v>1547</v>
      </c>
      <c r="B620" s="260" t="s">
        <v>1548</v>
      </c>
      <c r="C620" s="220">
        <v>1</v>
      </c>
      <c r="D620" s="220">
        <v>1</v>
      </c>
    </row>
    <row r="621" spans="1:4" ht="25.5">
      <c r="A621" s="259" t="s">
        <v>1549</v>
      </c>
      <c r="B621" s="260" t="s">
        <v>1550</v>
      </c>
      <c r="C621" s="220">
        <v>0</v>
      </c>
      <c r="D621" s="220">
        <v>0</v>
      </c>
    </row>
    <row r="622" spans="1:4">
      <c r="A622" s="259" t="s">
        <v>1551</v>
      </c>
      <c r="B622" s="260" t="s">
        <v>1552</v>
      </c>
      <c r="C622" s="220">
        <v>0</v>
      </c>
      <c r="D622" s="220">
        <v>0</v>
      </c>
    </row>
    <row r="623" spans="1:4">
      <c r="A623" s="259" t="s">
        <v>1553</v>
      </c>
      <c r="B623" s="260" t="s">
        <v>1554</v>
      </c>
      <c r="C623" s="220">
        <v>0</v>
      </c>
      <c r="D623" s="220">
        <v>0</v>
      </c>
    </row>
    <row r="624" spans="1:4">
      <c r="A624" s="259" t="s">
        <v>1555</v>
      </c>
      <c r="B624" s="260" t="s">
        <v>1556</v>
      </c>
      <c r="C624" s="220">
        <v>0</v>
      </c>
      <c r="D624" s="220">
        <v>0</v>
      </c>
    </row>
    <row r="625" spans="1:4" ht="25.5">
      <c r="A625" s="259" t="s">
        <v>1557</v>
      </c>
      <c r="B625" s="260" t="s">
        <v>1558</v>
      </c>
      <c r="C625" s="220">
        <v>0</v>
      </c>
      <c r="D625" s="220">
        <v>1</v>
      </c>
    </row>
    <row r="626" spans="1:4" ht="25.5">
      <c r="A626" s="259" t="s">
        <v>1559</v>
      </c>
      <c r="B626" s="260" t="s">
        <v>1560</v>
      </c>
      <c r="C626" s="220">
        <v>0</v>
      </c>
      <c r="D626" s="220">
        <v>0</v>
      </c>
    </row>
    <row r="627" spans="1:4">
      <c r="A627" s="259" t="s">
        <v>1561</v>
      </c>
      <c r="B627" s="260" t="s">
        <v>1562</v>
      </c>
      <c r="C627" s="220">
        <v>0</v>
      </c>
      <c r="D627" s="220">
        <v>0</v>
      </c>
    </row>
    <row r="628" spans="1:4">
      <c r="A628" s="259" t="s">
        <v>1563</v>
      </c>
      <c r="B628" s="260" t="s">
        <v>1564</v>
      </c>
      <c r="C628" s="220">
        <v>0</v>
      </c>
      <c r="D628" s="220">
        <v>0</v>
      </c>
    </row>
    <row r="629" spans="1:4">
      <c r="A629" s="259" t="s">
        <v>1565</v>
      </c>
      <c r="B629" s="260" t="s">
        <v>1566</v>
      </c>
      <c r="C629" s="220">
        <v>2</v>
      </c>
      <c r="D629" s="220">
        <v>0</v>
      </c>
    </row>
    <row r="630" spans="1:4">
      <c r="A630" s="259" t="s">
        <v>1567</v>
      </c>
      <c r="B630" s="260" t="s">
        <v>1568</v>
      </c>
      <c r="C630" s="220">
        <v>24</v>
      </c>
      <c r="D630" s="220">
        <v>11</v>
      </c>
    </row>
    <row r="631" spans="1:4">
      <c r="A631" s="259" t="s">
        <v>1569</v>
      </c>
      <c r="B631" s="260" t="s">
        <v>1570</v>
      </c>
      <c r="C631" s="220">
        <v>54</v>
      </c>
      <c r="D631" s="220">
        <v>30</v>
      </c>
    </row>
    <row r="632" spans="1:4">
      <c r="A632" s="259" t="s">
        <v>1571</v>
      </c>
      <c r="B632" s="260" t="s">
        <v>1572</v>
      </c>
      <c r="C632" s="220">
        <v>2</v>
      </c>
      <c r="D632" s="220">
        <v>0</v>
      </c>
    </row>
    <row r="633" spans="1:4">
      <c r="A633" s="259" t="s">
        <v>1573</v>
      </c>
      <c r="B633" s="260" t="s">
        <v>1574</v>
      </c>
      <c r="C633" s="220">
        <v>8</v>
      </c>
      <c r="D633" s="220">
        <v>3</v>
      </c>
    </row>
    <row r="634" spans="1:4">
      <c r="A634" s="259" t="s">
        <v>1575</v>
      </c>
      <c r="B634" s="260" t="s">
        <v>1576</v>
      </c>
      <c r="C634" s="220">
        <v>735</v>
      </c>
      <c r="D634" s="220">
        <v>41</v>
      </c>
    </row>
    <row r="635" spans="1:4">
      <c r="A635" s="259" t="s">
        <v>1577</v>
      </c>
      <c r="B635" s="260" t="s">
        <v>1578</v>
      </c>
      <c r="C635" s="220">
        <v>0</v>
      </c>
      <c r="D635" s="220">
        <v>0</v>
      </c>
    </row>
    <row r="636" spans="1:4" ht="18.75">
      <c r="A636" s="258">
        <v>18</v>
      </c>
      <c r="B636" s="265" t="s">
        <v>1579</v>
      </c>
      <c r="C636" s="257">
        <v>0</v>
      </c>
      <c r="D636" s="257">
        <v>0</v>
      </c>
    </row>
    <row r="637" spans="1:4">
      <c r="A637" s="259" t="s">
        <v>1580</v>
      </c>
      <c r="B637" s="260" t="s">
        <v>1581</v>
      </c>
      <c r="C637" s="220">
        <v>0</v>
      </c>
      <c r="D637" s="220">
        <v>0</v>
      </c>
    </row>
    <row r="638" spans="1:4">
      <c r="A638" s="259" t="s">
        <v>1582</v>
      </c>
      <c r="B638" s="260" t="s">
        <v>1583</v>
      </c>
      <c r="C638" s="220">
        <v>0</v>
      </c>
      <c r="D638" s="220">
        <v>0</v>
      </c>
    </row>
    <row r="639" spans="1:4">
      <c r="A639" s="259" t="s">
        <v>1584</v>
      </c>
      <c r="B639" s="260" t="s">
        <v>1585</v>
      </c>
      <c r="C639" s="220">
        <v>0</v>
      </c>
      <c r="D639" s="220">
        <v>0</v>
      </c>
    </row>
    <row r="640" spans="1:4">
      <c r="A640" s="259" t="s">
        <v>1586</v>
      </c>
      <c r="B640" s="260" t="s">
        <v>1587</v>
      </c>
      <c r="C640" s="220">
        <v>0</v>
      </c>
      <c r="D640" s="220">
        <v>0</v>
      </c>
    </row>
    <row r="641" spans="1:4">
      <c r="A641" s="259" t="s">
        <v>1588</v>
      </c>
      <c r="B641" s="260" t="s">
        <v>1589</v>
      </c>
      <c r="C641" s="220">
        <v>0</v>
      </c>
      <c r="D641" s="220">
        <v>0</v>
      </c>
    </row>
    <row r="642" spans="1:4">
      <c r="A642" s="259" t="s">
        <v>1590</v>
      </c>
      <c r="B642" s="260" t="s">
        <v>1591</v>
      </c>
      <c r="C642" s="220">
        <v>0</v>
      </c>
      <c r="D642" s="220">
        <v>0</v>
      </c>
    </row>
    <row r="643" spans="1:4">
      <c r="A643" s="259" t="s">
        <v>1592</v>
      </c>
      <c r="B643" s="260" t="s">
        <v>1593</v>
      </c>
      <c r="C643" s="220">
        <v>0</v>
      </c>
      <c r="D643" s="220">
        <v>3</v>
      </c>
    </row>
    <row r="644" spans="1:4">
      <c r="A644" s="259" t="s">
        <v>1594</v>
      </c>
      <c r="B644" s="260" t="s">
        <v>1595</v>
      </c>
      <c r="C644" s="220">
        <v>0</v>
      </c>
      <c r="D644" s="220">
        <v>0</v>
      </c>
    </row>
    <row r="645" spans="1:4">
      <c r="A645" s="259" t="s">
        <v>1596</v>
      </c>
      <c r="B645" s="260" t="s">
        <v>1597</v>
      </c>
      <c r="C645" s="220">
        <v>1</v>
      </c>
      <c r="D645" s="220">
        <v>0</v>
      </c>
    </row>
    <row r="646" spans="1:4">
      <c r="A646" s="259" t="s">
        <v>1598</v>
      </c>
      <c r="B646" s="260" t="s">
        <v>1599</v>
      </c>
      <c r="C646" s="220">
        <v>1</v>
      </c>
      <c r="D646" s="220">
        <v>0</v>
      </c>
    </row>
    <row r="647" spans="1:4" ht="25.5">
      <c r="A647" s="259" t="s">
        <v>1600</v>
      </c>
      <c r="B647" s="260" t="s">
        <v>1601</v>
      </c>
      <c r="C647" s="220">
        <v>0</v>
      </c>
      <c r="D647" s="220">
        <v>1</v>
      </c>
    </row>
    <row r="648" spans="1:4" ht="25.5">
      <c r="A648" s="259" t="s">
        <v>1602</v>
      </c>
      <c r="B648" s="260" t="s">
        <v>1603</v>
      </c>
      <c r="C648" s="220">
        <v>0</v>
      </c>
      <c r="D648" s="220">
        <v>0</v>
      </c>
    </row>
    <row r="649" spans="1:4">
      <c r="A649" s="259" t="s">
        <v>1604</v>
      </c>
      <c r="B649" s="260" t="s">
        <v>1605</v>
      </c>
      <c r="C649" s="220">
        <v>2</v>
      </c>
      <c r="D649" s="220">
        <v>2</v>
      </c>
    </row>
    <row r="650" spans="1:4">
      <c r="A650" s="259" t="s">
        <v>1606</v>
      </c>
      <c r="B650" s="260" t="s">
        <v>1607</v>
      </c>
      <c r="C650" s="220">
        <v>0</v>
      </c>
      <c r="D650" s="220">
        <v>81</v>
      </c>
    </row>
    <row r="651" spans="1:4">
      <c r="A651" s="259" t="s">
        <v>1608</v>
      </c>
      <c r="B651" s="260" t="s">
        <v>1609</v>
      </c>
      <c r="C651" s="220">
        <v>17</v>
      </c>
      <c r="D651" s="220">
        <v>107</v>
      </c>
    </row>
    <row r="652" spans="1:4">
      <c r="A652" s="259" t="s">
        <v>1610</v>
      </c>
      <c r="B652" s="260" t="s">
        <v>1611</v>
      </c>
      <c r="C652" s="220">
        <v>1</v>
      </c>
      <c r="D652" s="220">
        <v>0</v>
      </c>
    </row>
    <row r="653" spans="1:4">
      <c r="A653" s="259" t="s">
        <v>1612</v>
      </c>
      <c r="B653" s="260" t="s">
        <v>1613</v>
      </c>
      <c r="C653" s="220">
        <v>1</v>
      </c>
      <c r="D653" s="220">
        <v>0</v>
      </c>
    </row>
    <row r="654" spans="1:4">
      <c r="A654" s="259" t="s">
        <v>1614</v>
      </c>
      <c r="B654" s="260" t="s">
        <v>1615</v>
      </c>
      <c r="C654" s="220">
        <v>2</v>
      </c>
      <c r="D654" s="220">
        <v>10</v>
      </c>
    </row>
    <row r="655" spans="1:4" ht="18.75">
      <c r="A655" s="258">
        <v>19</v>
      </c>
      <c r="B655" s="265" t="s">
        <v>1616</v>
      </c>
      <c r="C655" s="257">
        <v>0</v>
      </c>
      <c r="D655" s="257">
        <v>0</v>
      </c>
    </row>
    <row r="656" spans="1:4">
      <c r="A656" s="259" t="s">
        <v>1617</v>
      </c>
      <c r="B656" s="271" t="s">
        <v>1618</v>
      </c>
      <c r="C656" s="220">
        <v>0</v>
      </c>
      <c r="D656" s="220">
        <v>0</v>
      </c>
    </row>
    <row r="657" spans="1:4">
      <c r="A657" s="259" t="s">
        <v>1619</v>
      </c>
      <c r="B657" s="271" t="s">
        <v>1620</v>
      </c>
      <c r="C657" s="220">
        <v>5</v>
      </c>
      <c r="D657" s="220">
        <v>6</v>
      </c>
    </row>
    <row r="658" spans="1:4">
      <c r="A658" s="259" t="s">
        <v>1621</v>
      </c>
      <c r="B658" s="271" t="s">
        <v>1622</v>
      </c>
      <c r="C658" s="220">
        <v>0</v>
      </c>
      <c r="D658" s="220">
        <v>10</v>
      </c>
    </row>
    <row r="659" spans="1:4" ht="25.5">
      <c r="A659" s="259" t="s">
        <v>1623</v>
      </c>
      <c r="B659" s="271" t="s">
        <v>1624</v>
      </c>
      <c r="C659" s="220">
        <v>0</v>
      </c>
      <c r="D659" s="220">
        <v>3</v>
      </c>
    </row>
    <row r="660" spans="1:4" ht="25.5">
      <c r="A660" s="259" t="s">
        <v>1625</v>
      </c>
      <c r="B660" s="271" t="s">
        <v>1626</v>
      </c>
      <c r="C660" s="220">
        <v>0</v>
      </c>
      <c r="D660" s="220">
        <v>15</v>
      </c>
    </row>
    <row r="661" spans="1:4">
      <c r="A661" s="259" t="s">
        <v>1627</v>
      </c>
      <c r="B661" s="271" t="s">
        <v>1628</v>
      </c>
      <c r="C661" s="220">
        <v>1</v>
      </c>
      <c r="D661" s="220">
        <v>0</v>
      </c>
    </row>
    <row r="662" spans="1:4">
      <c r="A662" s="259" t="s">
        <v>1629</v>
      </c>
      <c r="B662" s="271" t="s">
        <v>1630</v>
      </c>
      <c r="C662" s="220">
        <v>0</v>
      </c>
      <c r="D662" s="220">
        <v>2</v>
      </c>
    </row>
    <row r="663" spans="1:4">
      <c r="A663" s="259" t="s">
        <v>1631</v>
      </c>
      <c r="B663" s="271" t="s">
        <v>1632</v>
      </c>
      <c r="C663" s="220">
        <v>2</v>
      </c>
      <c r="D663" s="220">
        <v>13</v>
      </c>
    </row>
    <row r="664" spans="1:4">
      <c r="A664" s="259" t="s">
        <v>1633</v>
      </c>
      <c r="B664" s="271" t="s">
        <v>1634</v>
      </c>
      <c r="C664" s="220">
        <v>0</v>
      </c>
      <c r="D664" s="220">
        <v>0</v>
      </c>
    </row>
    <row r="665" spans="1:4">
      <c r="A665" s="259" t="s">
        <v>1635</v>
      </c>
      <c r="B665" s="271" t="s">
        <v>1636</v>
      </c>
      <c r="C665" s="220">
        <v>0</v>
      </c>
      <c r="D665" s="220">
        <v>9</v>
      </c>
    </row>
    <row r="666" spans="1:4">
      <c r="A666" s="259" t="s">
        <v>1637</v>
      </c>
      <c r="B666" s="271" t="s">
        <v>1638</v>
      </c>
      <c r="C666" s="220">
        <v>0</v>
      </c>
      <c r="D666" s="220">
        <v>9</v>
      </c>
    </row>
    <row r="667" spans="1:4" ht="37.5">
      <c r="A667" s="258">
        <v>20</v>
      </c>
      <c r="B667" s="265" t="s">
        <v>1639</v>
      </c>
      <c r="C667" s="257">
        <v>0</v>
      </c>
      <c r="D667" s="257">
        <v>0</v>
      </c>
    </row>
    <row r="668" spans="1:4">
      <c r="A668" s="259" t="s">
        <v>1640</v>
      </c>
      <c r="B668" s="260" t="s">
        <v>1641</v>
      </c>
      <c r="C668" s="220">
        <v>8</v>
      </c>
      <c r="D668" s="220">
        <v>30</v>
      </c>
    </row>
    <row r="669" spans="1:4">
      <c r="A669" s="259" t="s">
        <v>1642</v>
      </c>
      <c r="B669" s="260" t="s">
        <v>1643</v>
      </c>
      <c r="C669" s="220">
        <v>0</v>
      </c>
      <c r="D669" s="220">
        <v>5</v>
      </c>
    </row>
    <row r="670" spans="1:4">
      <c r="A670" s="259" t="s">
        <v>1644</v>
      </c>
      <c r="B670" s="260" t="s">
        <v>1645</v>
      </c>
      <c r="C670" s="220">
        <v>0</v>
      </c>
      <c r="D670" s="220">
        <v>0</v>
      </c>
    </row>
    <row r="671" spans="1:4">
      <c r="A671" s="259" t="s">
        <v>1646</v>
      </c>
      <c r="B671" s="260" t="s">
        <v>1647</v>
      </c>
      <c r="C671" s="220">
        <v>1</v>
      </c>
      <c r="D671" s="220">
        <v>10</v>
      </c>
    </row>
    <row r="672" spans="1:4">
      <c r="A672" s="259" t="s">
        <v>1648</v>
      </c>
      <c r="B672" s="260" t="s">
        <v>1649</v>
      </c>
      <c r="C672" s="220">
        <v>0</v>
      </c>
      <c r="D672" s="220">
        <v>0</v>
      </c>
    </row>
    <row r="673" spans="1:4">
      <c r="A673" s="259" t="s">
        <v>1650</v>
      </c>
      <c r="B673" s="260" t="s">
        <v>1651</v>
      </c>
      <c r="C673" s="220">
        <v>0</v>
      </c>
      <c r="D673" s="220">
        <v>0</v>
      </c>
    </row>
    <row r="674" spans="1:4" ht="18.75">
      <c r="A674" s="258">
        <v>21</v>
      </c>
      <c r="B674" s="265" t="s">
        <v>1652</v>
      </c>
      <c r="C674" s="257">
        <v>0</v>
      </c>
      <c r="D674" s="257">
        <v>0</v>
      </c>
    </row>
    <row r="675" spans="1:4">
      <c r="A675" s="259" t="s">
        <v>1653</v>
      </c>
      <c r="B675" s="260" t="s">
        <v>1654</v>
      </c>
      <c r="C675" s="220">
        <v>0</v>
      </c>
      <c r="D675" s="220">
        <v>0</v>
      </c>
    </row>
    <row r="676" spans="1:4" ht="25.5">
      <c r="A676" s="259" t="s">
        <v>1655</v>
      </c>
      <c r="B676" s="260" t="s">
        <v>1656</v>
      </c>
      <c r="C676" s="220">
        <v>0</v>
      </c>
      <c r="D676" s="220">
        <v>0</v>
      </c>
    </row>
    <row r="677" spans="1:4" ht="25.5">
      <c r="A677" s="259" t="s">
        <v>1657</v>
      </c>
      <c r="B677" s="260" t="s">
        <v>1658</v>
      </c>
      <c r="C677" s="220">
        <v>0</v>
      </c>
      <c r="D677" s="220">
        <v>0</v>
      </c>
    </row>
    <row r="678" spans="1:4">
      <c r="A678" s="259" t="s">
        <v>1659</v>
      </c>
      <c r="B678" s="260" t="s">
        <v>1660</v>
      </c>
      <c r="C678" s="220">
        <v>0</v>
      </c>
      <c r="D678" s="220">
        <v>0</v>
      </c>
    </row>
    <row r="679" spans="1:4">
      <c r="A679" s="259" t="s">
        <v>1661</v>
      </c>
      <c r="B679" s="269" t="s">
        <v>1662</v>
      </c>
      <c r="C679" s="220">
        <v>0</v>
      </c>
      <c r="D679" s="220">
        <v>0</v>
      </c>
    </row>
    <row r="680" spans="1:4">
      <c r="A680" s="259" t="s">
        <v>1663</v>
      </c>
      <c r="B680" s="269" t="s">
        <v>1664</v>
      </c>
      <c r="C680" s="220">
        <v>0</v>
      </c>
      <c r="D680" s="220">
        <v>0</v>
      </c>
    </row>
    <row r="681" spans="1:4">
      <c r="A681" s="259" t="s">
        <v>1665</v>
      </c>
      <c r="B681" s="260" t="s">
        <v>1666</v>
      </c>
      <c r="C681" s="220">
        <v>0</v>
      </c>
      <c r="D681" s="220">
        <v>0</v>
      </c>
    </row>
    <row r="682" spans="1:4">
      <c r="A682" s="259" t="s">
        <v>1667</v>
      </c>
      <c r="B682" s="269" t="s">
        <v>1668</v>
      </c>
      <c r="C682" s="220">
        <v>0</v>
      </c>
      <c r="D682" s="220">
        <v>1</v>
      </c>
    </row>
    <row r="683" spans="1:4">
      <c r="A683" s="259" t="s">
        <v>1669</v>
      </c>
      <c r="B683" s="269" t="s">
        <v>1670</v>
      </c>
      <c r="C683" s="220">
        <v>3</v>
      </c>
      <c r="D683" s="220">
        <v>0</v>
      </c>
    </row>
    <row r="684" spans="1:4" ht="25.5">
      <c r="A684" s="259" t="s">
        <v>1671</v>
      </c>
      <c r="B684" s="269" t="s">
        <v>1672</v>
      </c>
      <c r="C684" s="220">
        <v>0</v>
      </c>
      <c r="D684" s="220">
        <v>0</v>
      </c>
    </row>
    <row r="685" spans="1:4">
      <c r="A685" s="259" t="s">
        <v>1673</v>
      </c>
      <c r="B685" s="261" t="s">
        <v>1674</v>
      </c>
      <c r="C685" s="220">
        <v>0</v>
      </c>
      <c r="D685" s="220">
        <v>0</v>
      </c>
    </row>
    <row r="686" spans="1:4">
      <c r="A686" s="259" t="s">
        <v>1675</v>
      </c>
      <c r="B686" s="260" t="s">
        <v>1676</v>
      </c>
      <c r="C686" s="220">
        <v>1</v>
      </c>
      <c r="D686" s="220">
        <v>0</v>
      </c>
    </row>
    <row r="687" spans="1:4">
      <c r="A687" s="259" t="s">
        <v>1677</v>
      </c>
      <c r="B687" s="260" t="s">
        <v>1678</v>
      </c>
      <c r="C687" s="220">
        <v>0</v>
      </c>
      <c r="D687" s="220">
        <v>3</v>
      </c>
    </row>
    <row r="688" spans="1:4">
      <c r="A688" s="259" t="s">
        <v>1679</v>
      </c>
      <c r="B688" s="269" t="s">
        <v>1680</v>
      </c>
      <c r="C688" s="220">
        <v>0</v>
      </c>
      <c r="D688" s="220">
        <v>0</v>
      </c>
    </row>
    <row r="689" spans="1:4">
      <c r="A689" s="259" t="s">
        <v>1681</v>
      </c>
      <c r="B689" s="269" t="s">
        <v>1682</v>
      </c>
      <c r="C689" s="220">
        <v>1</v>
      </c>
      <c r="D689" s="220">
        <v>0</v>
      </c>
    </row>
    <row r="690" spans="1:4">
      <c r="A690" s="259" t="s">
        <v>1683</v>
      </c>
      <c r="B690" s="260" t="s">
        <v>1684</v>
      </c>
      <c r="C690" s="220">
        <v>0</v>
      </c>
      <c r="D690" s="220">
        <v>0</v>
      </c>
    </row>
    <row r="691" spans="1:4">
      <c r="A691" s="259" t="s">
        <v>1685</v>
      </c>
      <c r="B691" s="260" t="s">
        <v>1686</v>
      </c>
      <c r="C691" s="220">
        <v>1</v>
      </c>
      <c r="D691" s="220">
        <v>0</v>
      </c>
    </row>
    <row r="692" spans="1:4" ht="25.5">
      <c r="A692" s="259" t="s">
        <v>1687</v>
      </c>
      <c r="B692" s="260" t="s">
        <v>1688</v>
      </c>
      <c r="C692" s="220">
        <v>0</v>
      </c>
      <c r="D692" s="220">
        <v>0</v>
      </c>
    </row>
    <row r="693" spans="1:4" ht="25.5">
      <c r="A693" s="259" t="s">
        <v>1689</v>
      </c>
      <c r="B693" s="260" t="s">
        <v>1690</v>
      </c>
      <c r="C693" s="220">
        <v>0</v>
      </c>
      <c r="D693" s="220">
        <v>0</v>
      </c>
    </row>
    <row r="694" spans="1:4">
      <c r="A694" s="259" t="s">
        <v>1691</v>
      </c>
      <c r="B694" s="260" t="s">
        <v>1692</v>
      </c>
      <c r="C694" s="220">
        <v>0</v>
      </c>
      <c r="D694" s="220">
        <v>0</v>
      </c>
    </row>
    <row r="695" spans="1:4">
      <c r="A695" s="259" t="s">
        <v>1693</v>
      </c>
      <c r="B695" s="260" t="s">
        <v>1694</v>
      </c>
      <c r="C695" s="220">
        <v>22</v>
      </c>
      <c r="D695" s="220">
        <v>0</v>
      </c>
    </row>
    <row r="696" spans="1:4">
      <c r="A696" s="259" t="s">
        <v>1695</v>
      </c>
      <c r="B696" s="260" t="s">
        <v>1696</v>
      </c>
      <c r="C696" s="220">
        <v>1</v>
      </c>
      <c r="D696" s="220">
        <v>21</v>
      </c>
    </row>
    <row r="697" spans="1:4">
      <c r="A697" s="259" t="s">
        <v>1697</v>
      </c>
      <c r="B697" s="260" t="s">
        <v>1698</v>
      </c>
      <c r="C697" s="220">
        <v>3</v>
      </c>
      <c r="D697" s="220">
        <v>182</v>
      </c>
    </row>
    <row r="698" spans="1:4">
      <c r="A698" s="259" t="s">
        <v>1699</v>
      </c>
      <c r="B698" s="260" t="s">
        <v>1700</v>
      </c>
      <c r="C698" s="220">
        <v>16</v>
      </c>
      <c r="D698" s="220">
        <v>0</v>
      </c>
    </row>
    <row r="699" spans="1:4">
      <c r="A699" s="259" t="s">
        <v>1701</v>
      </c>
      <c r="B699" s="260" t="s">
        <v>1702</v>
      </c>
      <c r="C699" s="220">
        <v>7</v>
      </c>
      <c r="D699" s="220">
        <v>62</v>
      </c>
    </row>
    <row r="700" spans="1:4">
      <c r="A700" s="259" t="s">
        <v>1703</v>
      </c>
      <c r="B700" s="260" t="s">
        <v>1704</v>
      </c>
      <c r="C700" s="220">
        <v>2</v>
      </c>
      <c r="D700" s="220">
        <v>2</v>
      </c>
    </row>
    <row r="701" spans="1:4">
      <c r="A701" s="259" t="s">
        <v>1705</v>
      </c>
      <c r="B701" s="260" t="s">
        <v>1706</v>
      </c>
      <c r="C701" s="220">
        <v>0</v>
      </c>
      <c r="D701" s="220">
        <v>4</v>
      </c>
    </row>
    <row r="702" spans="1:4">
      <c r="A702" s="259" t="s">
        <v>1707</v>
      </c>
      <c r="B702" s="260" t="s">
        <v>1708</v>
      </c>
      <c r="C702" s="220">
        <v>0</v>
      </c>
      <c r="D702" s="220">
        <v>0</v>
      </c>
    </row>
    <row r="703" spans="1:4">
      <c r="A703" s="259" t="s">
        <v>1709</v>
      </c>
      <c r="B703" s="260" t="s">
        <v>1710</v>
      </c>
      <c r="C703" s="220">
        <v>2</v>
      </c>
      <c r="D703" s="220">
        <v>5</v>
      </c>
    </row>
    <row r="704" spans="1:4" ht="18.75">
      <c r="A704" s="258">
        <v>22</v>
      </c>
      <c r="B704" s="265" t="s">
        <v>1711</v>
      </c>
      <c r="C704" s="257">
        <v>0</v>
      </c>
      <c r="D704" s="257">
        <v>0</v>
      </c>
    </row>
    <row r="705" spans="1:4">
      <c r="A705" s="259" t="s">
        <v>1712</v>
      </c>
      <c r="B705" s="260" t="s">
        <v>1713</v>
      </c>
      <c r="C705" s="220">
        <v>0</v>
      </c>
      <c r="D705" s="220">
        <v>0</v>
      </c>
    </row>
    <row r="706" spans="1:4">
      <c r="A706" s="259" t="s">
        <v>1714</v>
      </c>
      <c r="B706" s="260" t="s">
        <v>1715</v>
      </c>
      <c r="C706" s="220">
        <v>0</v>
      </c>
      <c r="D706" s="220">
        <v>0</v>
      </c>
    </row>
    <row r="707" spans="1:4">
      <c r="A707" s="259" t="s">
        <v>1716</v>
      </c>
      <c r="B707" s="260" t="s">
        <v>1717</v>
      </c>
      <c r="C707" s="220">
        <v>0</v>
      </c>
      <c r="D707" s="220">
        <v>0</v>
      </c>
    </row>
    <row r="708" spans="1:4">
      <c r="A708" s="259" t="s">
        <v>1718</v>
      </c>
      <c r="B708" s="260" t="s">
        <v>1719</v>
      </c>
      <c r="C708" s="220">
        <v>0</v>
      </c>
      <c r="D708" s="220">
        <v>3</v>
      </c>
    </row>
    <row r="709" spans="1:4">
      <c r="A709" s="259" t="s">
        <v>1720</v>
      </c>
      <c r="B709" s="260" t="s">
        <v>1721</v>
      </c>
      <c r="C709" s="220">
        <v>0</v>
      </c>
      <c r="D709" s="220">
        <v>0</v>
      </c>
    </row>
    <row r="710" spans="1:4">
      <c r="A710" s="259" t="s">
        <v>1722</v>
      </c>
      <c r="B710" s="260" t="s">
        <v>1723</v>
      </c>
      <c r="C710" s="220">
        <v>1</v>
      </c>
      <c r="D710" s="220">
        <v>0</v>
      </c>
    </row>
    <row r="711" spans="1:4">
      <c r="A711" s="259" t="s">
        <v>1724</v>
      </c>
      <c r="B711" s="260" t="s">
        <v>1725</v>
      </c>
      <c r="C711" s="220">
        <v>0</v>
      </c>
      <c r="D711" s="220">
        <v>0</v>
      </c>
    </row>
    <row r="712" spans="1:4">
      <c r="A712" s="259" t="s">
        <v>1726</v>
      </c>
      <c r="B712" s="260" t="s">
        <v>1727</v>
      </c>
      <c r="C712" s="220">
        <v>4</v>
      </c>
      <c r="D712" s="220">
        <v>6</v>
      </c>
    </row>
    <row r="713" spans="1:4" ht="33" customHeight="1">
      <c r="A713" s="258">
        <v>23</v>
      </c>
      <c r="B713" s="265" t="s">
        <v>1728</v>
      </c>
      <c r="C713" s="257">
        <v>0</v>
      </c>
      <c r="D713" s="257">
        <v>0</v>
      </c>
    </row>
    <row r="714" spans="1:4" ht="25.5">
      <c r="A714" s="259" t="s">
        <v>1729</v>
      </c>
      <c r="B714" s="260" t="s">
        <v>1730</v>
      </c>
      <c r="C714" s="220">
        <v>1</v>
      </c>
      <c r="D714" s="220">
        <v>0</v>
      </c>
    </row>
    <row r="715" spans="1:4" ht="25.5">
      <c r="A715" s="259" t="s">
        <v>1731</v>
      </c>
      <c r="B715" s="260" t="s">
        <v>1732</v>
      </c>
      <c r="C715" s="220">
        <v>0</v>
      </c>
      <c r="D715" s="220">
        <v>4</v>
      </c>
    </row>
    <row r="716" spans="1:4">
      <c r="A716" s="259" t="s">
        <v>1733</v>
      </c>
      <c r="B716" s="260" t="s">
        <v>1734</v>
      </c>
      <c r="C716" s="220">
        <v>0</v>
      </c>
      <c r="D716" s="220">
        <v>0</v>
      </c>
    </row>
    <row r="717" spans="1:4">
      <c r="A717" s="259" t="s">
        <v>1735</v>
      </c>
      <c r="B717" s="260" t="s">
        <v>1736</v>
      </c>
      <c r="C717" s="220">
        <v>0</v>
      </c>
      <c r="D717" s="220">
        <v>0</v>
      </c>
    </row>
    <row r="718" spans="1:4">
      <c r="A718" s="259" t="s">
        <v>1737</v>
      </c>
      <c r="B718" s="260" t="s">
        <v>1738</v>
      </c>
      <c r="C718" s="220">
        <v>0</v>
      </c>
      <c r="D718" s="220">
        <v>0</v>
      </c>
    </row>
    <row r="719" spans="1:4">
      <c r="A719" s="259" t="s">
        <v>1739</v>
      </c>
      <c r="B719" s="261" t="s">
        <v>1740</v>
      </c>
      <c r="C719" s="220">
        <v>0</v>
      </c>
      <c r="D719" s="220">
        <v>0</v>
      </c>
    </row>
    <row r="720" spans="1:4">
      <c r="A720" s="259" t="s">
        <v>1741</v>
      </c>
      <c r="B720" s="261" t="s">
        <v>1742</v>
      </c>
      <c r="C720" s="220">
        <v>18</v>
      </c>
      <c r="D720" s="220">
        <v>11</v>
      </c>
    </row>
    <row r="721" spans="1:4">
      <c r="A721" s="259" t="s">
        <v>1743</v>
      </c>
      <c r="B721" s="261" t="s">
        <v>1744</v>
      </c>
      <c r="C721" s="220">
        <v>4</v>
      </c>
      <c r="D721" s="220">
        <v>2</v>
      </c>
    </row>
    <row r="722" spans="1:4">
      <c r="A722" s="259" t="s">
        <v>1745</v>
      </c>
      <c r="B722" s="260" t="s">
        <v>1746</v>
      </c>
      <c r="C722" s="220">
        <v>0</v>
      </c>
      <c r="D722" s="220">
        <v>2</v>
      </c>
    </row>
    <row r="723" spans="1:4">
      <c r="A723" s="259" t="s">
        <v>1747</v>
      </c>
      <c r="B723" s="260" t="s">
        <v>1748</v>
      </c>
      <c r="C723" s="220">
        <v>6</v>
      </c>
      <c r="D723" s="220">
        <v>23</v>
      </c>
    </row>
    <row r="724" spans="1:4">
      <c r="A724" s="259" t="s">
        <v>1749</v>
      </c>
      <c r="B724" s="260" t="s">
        <v>1750</v>
      </c>
      <c r="C724" s="220">
        <v>117</v>
      </c>
      <c r="D724" s="220">
        <v>785</v>
      </c>
    </row>
    <row r="725" spans="1:4">
      <c r="A725" s="259" t="s">
        <v>1751</v>
      </c>
      <c r="B725" s="260" t="s">
        <v>1752</v>
      </c>
      <c r="C725" s="220">
        <v>3</v>
      </c>
      <c r="D725" s="220">
        <v>11</v>
      </c>
    </row>
    <row r="726" spans="1:4">
      <c r="A726" s="259" t="s">
        <v>1753</v>
      </c>
      <c r="B726" s="260" t="s">
        <v>1754</v>
      </c>
      <c r="C726" s="220">
        <v>0</v>
      </c>
      <c r="D726" s="220">
        <v>0</v>
      </c>
    </row>
    <row r="727" spans="1:4" ht="21" customHeight="1">
      <c r="A727" s="273"/>
      <c r="B727" s="274" t="s">
        <v>1755</v>
      </c>
      <c r="C727" s="274">
        <v>0</v>
      </c>
      <c r="D727" s="257">
        <v>0</v>
      </c>
    </row>
    <row r="728" spans="1:4">
      <c r="A728" s="259" t="s">
        <v>1756</v>
      </c>
      <c r="B728" s="275" t="s">
        <v>1757</v>
      </c>
      <c r="C728" s="220">
        <v>0</v>
      </c>
      <c r="D728" s="220">
        <v>2</v>
      </c>
    </row>
    <row r="729" spans="1:4" ht="25.5">
      <c r="A729" s="276" t="s">
        <v>1758</v>
      </c>
      <c r="B729" s="275" t="s">
        <v>1759</v>
      </c>
      <c r="C729" s="220">
        <v>1</v>
      </c>
      <c r="D729" s="220">
        <v>38</v>
      </c>
    </row>
    <row r="730" spans="1:4">
      <c r="A730" s="276" t="s">
        <v>1760</v>
      </c>
      <c r="B730" s="275" t="s">
        <v>1761</v>
      </c>
      <c r="C730" s="220">
        <v>13</v>
      </c>
      <c r="D730" s="220">
        <v>51</v>
      </c>
    </row>
    <row r="731" spans="1:4" ht="20.25" customHeight="1">
      <c r="A731" s="277"/>
      <c r="B731" s="274" t="s">
        <v>1762</v>
      </c>
      <c r="C731" s="274">
        <v>0</v>
      </c>
      <c r="D731" s="257">
        <v>12</v>
      </c>
    </row>
    <row r="732" spans="1:4">
      <c r="A732" s="276" t="s">
        <v>1763</v>
      </c>
      <c r="B732" s="275" t="s">
        <v>1764</v>
      </c>
      <c r="C732" s="220">
        <v>5</v>
      </c>
      <c r="D732" s="220">
        <v>2</v>
      </c>
    </row>
    <row r="733" spans="1:4">
      <c r="A733" s="276" t="s">
        <v>1765</v>
      </c>
      <c r="B733" s="275" t="s">
        <v>1766</v>
      </c>
      <c r="C733" s="220">
        <v>16</v>
      </c>
      <c r="D733" s="220">
        <v>0</v>
      </c>
    </row>
    <row r="734" spans="1:4">
      <c r="A734" s="276" t="s">
        <v>1767</v>
      </c>
      <c r="B734" s="275" t="s">
        <v>1768</v>
      </c>
      <c r="C734" s="220">
        <v>0</v>
      </c>
      <c r="D734" s="220">
        <v>0</v>
      </c>
    </row>
  </sheetData>
  <conditionalFormatting sqref="A729:A730 A732:A734">
    <cfRule type="duplicateValues" dxfId="87" priority="1"/>
  </conditionalFormatting>
  <pageMargins left="0.23622047244094491" right="0.23622047244094491" top="0.35433070866141736" bottom="0.35433070866141736" header="0.31496062992125984" footer="0.31496062992125984"/>
  <pageSetup paperSize="9" scale="80" fitToHeight="0" orientation="portrait" r:id="rId1"/>
  <rowBreaks count="1" manualBreakCount="1">
    <brk id="66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W1342"/>
  <sheetViews>
    <sheetView view="pageBreakPreview" zoomScaleSheetLayoutView="100" workbookViewId="0">
      <pane ySplit="8" topLeftCell="A970" activePane="bottomLeft" state="frozen"/>
      <selection pane="bottomLeft" activeCell="B11" sqref="B11:C985"/>
    </sheetView>
  </sheetViews>
  <sheetFormatPr defaultRowHeight="12.75"/>
  <cols>
    <col min="2" max="2" width="12.7109375" customWidth="1"/>
    <col min="3" max="3" width="50.42578125" customWidth="1"/>
    <col min="4" max="4" width="10.5703125" customWidth="1"/>
    <col min="5" max="5" width="9.42578125" style="428" customWidth="1"/>
    <col min="6" max="6" width="9.5703125" customWidth="1"/>
    <col min="7" max="7" width="8.85546875" style="428" customWidth="1"/>
    <col min="8" max="8" width="9" customWidth="1"/>
    <col min="9" max="9" width="9.5703125" customWidth="1"/>
    <col min="258" max="258" width="12.7109375" customWidth="1"/>
    <col min="259" max="259" width="50.42578125" customWidth="1"/>
    <col min="260" max="260" width="9.85546875" customWidth="1"/>
    <col min="261" max="261" width="10.140625" customWidth="1"/>
    <col min="262" max="262" width="6.7109375" customWidth="1"/>
    <col min="263" max="263" width="9.7109375" customWidth="1"/>
    <col min="264" max="264" width="6.7109375" customWidth="1"/>
    <col min="265" max="265" width="9.140625" customWidth="1"/>
    <col min="514" max="514" width="12.7109375" customWidth="1"/>
    <col min="515" max="515" width="50.42578125" customWidth="1"/>
    <col min="516" max="516" width="9.85546875" customWidth="1"/>
    <col min="517" max="517" width="10.140625" customWidth="1"/>
    <col min="518" max="518" width="6.7109375" customWidth="1"/>
    <col min="519" max="519" width="9.7109375" customWidth="1"/>
    <col min="520" max="520" width="6.7109375" customWidth="1"/>
    <col min="521" max="521" width="9.140625" customWidth="1"/>
    <col min="770" max="770" width="12.7109375" customWidth="1"/>
    <col min="771" max="771" width="50.42578125" customWidth="1"/>
    <col min="772" max="772" width="9.85546875" customWidth="1"/>
    <col min="773" max="773" width="10.140625" customWidth="1"/>
    <col min="774" max="774" width="6.7109375" customWidth="1"/>
    <col min="775" max="775" width="9.7109375" customWidth="1"/>
    <col min="776" max="776" width="6.7109375" customWidth="1"/>
    <col min="777" max="777" width="9.140625" customWidth="1"/>
    <col min="1026" max="1026" width="12.7109375" customWidth="1"/>
    <col min="1027" max="1027" width="50.42578125" customWidth="1"/>
    <col min="1028" max="1028" width="9.85546875" customWidth="1"/>
    <col min="1029" max="1029" width="10.140625" customWidth="1"/>
    <col min="1030" max="1030" width="6.7109375" customWidth="1"/>
    <col min="1031" max="1031" width="9.7109375" customWidth="1"/>
    <col min="1032" max="1032" width="6.7109375" customWidth="1"/>
    <col min="1033" max="1033" width="9.140625" customWidth="1"/>
    <col min="1282" max="1282" width="12.7109375" customWidth="1"/>
    <col min="1283" max="1283" width="50.42578125" customWidth="1"/>
    <col min="1284" max="1284" width="9.85546875" customWidth="1"/>
    <col min="1285" max="1285" width="10.140625" customWidth="1"/>
    <col min="1286" max="1286" width="6.7109375" customWidth="1"/>
    <col min="1287" max="1287" width="9.7109375" customWidth="1"/>
    <col min="1288" max="1288" width="6.7109375" customWidth="1"/>
    <col min="1289" max="1289" width="9.140625" customWidth="1"/>
    <col min="1538" max="1538" width="12.7109375" customWidth="1"/>
    <col min="1539" max="1539" width="50.42578125" customWidth="1"/>
    <col min="1540" max="1540" width="9.85546875" customWidth="1"/>
    <col min="1541" max="1541" width="10.140625" customWidth="1"/>
    <col min="1542" max="1542" width="6.7109375" customWidth="1"/>
    <col min="1543" max="1543" width="9.7109375" customWidth="1"/>
    <col min="1544" max="1544" width="6.7109375" customWidth="1"/>
    <col min="1545" max="1545" width="9.140625" customWidth="1"/>
    <col min="1794" max="1794" width="12.7109375" customWidth="1"/>
    <col min="1795" max="1795" width="50.42578125" customWidth="1"/>
    <col min="1796" max="1796" width="9.85546875" customWidth="1"/>
    <col min="1797" max="1797" width="10.140625" customWidth="1"/>
    <col min="1798" max="1798" width="6.7109375" customWidth="1"/>
    <col min="1799" max="1799" width="9.7109375" customWidth="1"/>
    <col min="1800" max="1800" width="6.7109375" customWidth="1"/>
    <col min="1801" max="1801" width="9.140625" customWidth="1"/>
    <col min="2050" max="2050" width="12.7109375" customWidth="1"/>
    <col min="2051" max="2051" width="50.42578125" customWidth="1"/>
    <col min="2052" max="2052" width="9.85546875" customWidth="1"/>
    <col min="2053" max="2053" width="10.140625" customWidth="1"/>
    <col min="2054" max="2054" width="6.7109375" customWidth="1"/>
    <col min="2055" max="2055" width="9.7109375" customWidth="1"/>
    <col min="2056" max="2056" width="6.7109375" customWidth="1"/>
    <col min="2057" max="2057" width="9.140625" customWidth="1"/>
    <col min="2306" max="2306" width="12.7109375" customWidth="1"/>
    <col min="2307" max="2307" width="50.42578125" customWidth="1"/>
    <col min="2308" max="2308" width="9.85546875" customWidth="1"/>
    <col min="2309" max="2309" width="10.140625" customWidth="1"/>
    <col min="2310" max="2310" width="6.7109375" customWidth="1"/>
    <col min="2311" max="2311" width="9.7109375" customWidth="1"/>
    <col min="2312" max="2312" width="6.7109375" customWidth="1"/>
    <col min="2313" max="2313" width="9.140625" customWidth="1"/>
    <col min="2562" max="2562" width="12.7109375" customWidth="1"/>
    <col min="2563" max="2563" width="50.42578125" customWidth="1"/>
    <col min="2564" max="2564" width="9.85546875" customWidth="1"/>
    <col min="2565" max="2565" width="10.140625" customWidth="1"/>
    <col min="2566" max="2566" width="6.7109375" customWidth="1"/>
    <col min="2567" max="2567" width="9.7109375" customWidth="1"/>
    <col min="2568" max="2568" width="6.7109375" customWidth="1"/>
    <col min="2569" max="2569" width="9.140625" customWidth="1"/>
    <col min="2818" max="2818" width="12.7109375" customWidth="1"/>
    <col min="2819" max="2819" width="50.42578125" customWidth="1"/>
    <col min="2820" max="2820" width="9.85546875" customWidth="1"/>
    <col min="2821" max="2821" width="10.140625" customWidth="1"/>
    <col min="2822" max="2822" width="6.7109375" customWidth="1"/>
    <col min="2823" max="2823" width="9.7109375" customWidth="1"/>
    <col min="2824" max="2824" width="6.7109375" customWidth="1"/>
    <col min="2825" max="2825" width="9.140625" customWidth="1"/>
    <col min="3074" max="3074" width="12.7109375" customWidth="1"/>
    <col min="3075" max="3075" width="50.42578125" customWidth="1"/>
    <col min="3076" max="3076" width="9.85546875" customWidth="1"/>
    <col min="3077" max="3077" width="10.140625" customWidth="1"/>
    <col min="3078" max="3078" width="6.7109375" customWidth="1"/>
    <col min="3079" max="3079" width="9.7109375" customWidth="1"/>
    <col min="3080" max="3080" width="6.7109375" customWidth="1"/>
    <col min="3081" max="3081" width="9.140625" customWidth="1"/>
    <col min="3330" max="3330" width="12.7109375" customWidth="1"/>
    <col min="3331" max="3331" width="50.42578125" customWidth="1"/>
    <col min="3332" max="3332" width="9.85546875" customWidth="1"/>
    <col min="3333" max="3333" width="10.140625" customWidth="1"/>
    <col min="3334" max="3334" width="6.7109375" customWidth="1"/>
    <col min="3335" max="3335" width="9.7109375" customWidth="1"/>
    <col min="3336" max="3336" width="6.7109375" customWidth="1"/>
    <col min="3337" max="3337" width="9.140625" customWidth="1"/>
    <col min="3586" max="3586" width="12.7109375" customWidth="1"/>
    <col min="3587" max="3587" width="50.42578125" customWidth="1"/>
    <col min="3588" max="3588" width="9.85546875" customWidth="1"/>
    <col min="3589" max="3589" width="10.140625" customWidth="1"/>
    <col min="3590" max="3590" width="6.7109375" customWidth="1"/>
    <col min="3591" max="3591" width="9.7109375" customWidth="1"/>
    <col min="3592" max="3592" width="6.7109375" customWidth="1"/>
    <col min="3593" max="3593" width="9.140625" customWidth="1"/>
    <col min="3842" max="3842" width="12.7109375" customWidth="1"/>
    <col min="3843" max="3843" width="50.42578125" customWidth="1"/>
    <col min="3844" max="3844" width="9.85546875" customWidth="1"/>
    <col min="3845" max="3845" width="10.140625" customWidth="1"/>
    <col min="3846" max="3846" width="6.7109375" customWidth="1"/>
    <col min="3847" max="3847" width="9.7109375" customWidth="1"/>
    <col min="3848" max="3848" width="6.7109375" customWidth="1"/>
    <col min="3849" max="3849" width="9.140625" customWidth="1"/>
    <col min="4098" max="4098" width="12.7109375" customWidth="1"/>
    <col min="4099" max="4099" width="50.42578125" customWidth="1"/>
    <col min="4100" max="4100" width="9.85546875" customWidth="1"/>
    <col min="4101" max="4101" width="10.140625" customWidth="1"/>
    <col min="4102" max="4102" width="6.7109375" customWidth="1"/>
    <col min="4103" max="4103" width="9.7109375" customWidth="1"/>
    <col min="4104" max="4104" width="6.7109375" customWidth="1"/>
    <col min="4105" max="4105" width="9.140625" customWidth="1"/>
    <col min="4354" max="4354" width="12.7109375" customWidth="1"/>
    <col min="4355" max="4355" width="50.42578125" customWidth="1"/>
    <col min="4356" max="4356" width="9.85546875" customWidth="1"/>
    <col min="4357" max="4357" width="10.140625" customWidth="1"/>
    <col min="4358" max="4358" width="6.7109375" customWidth="1"/>
    <col min="4359" max="4359" width="9.7109375" customWidth="1"/>
    <col min="4360" max="4360" width="6.7109375" customWidth="1"/>
    <col min="4361" max="4361" width="9.140625" customWidth="1"/>
    <col min="4610" max="4610" width="12.7109375" customWidth="1"/>
    <col min="4611" max="4611" width="50.42578125" customWidth="1"/>
    <col min="4612" max="4612" width="9.85546875" customWidth="1"/>
    <col min="4613" max="4613" width="10.140625" customWidth="1"/>
    <col min="4614" max="4614" width="6.7109375" customWidth="1"/>
    <col min="4615" max="4615" width="9.7109375" customWidth="1"/>
    <col min="4616" max="4616" width="6.7109375" customWidth="1"/>
    <col min="4617" max="4617" width="9.140625" customWidth="1"/>
    <col min="4866" max="4866" width="12.7109375" customWidth="1"/>
    <col min="4867" max="4867" width="50.42578125" customWidth="1"/>
    <col min="4868" max="4868" width="9.85546875" customWidth="1"/>
    <col min="4869" max="4869" width="10.140625" customWidth="1"/>
    <col min="4870" max="4870" width="6.7109375" customWidth="1"/>
    <col min="4871" max="4871" width="9.7109375" customWidth="1"/>
    <col min="4872" max="4872" width="6.7109375" customWidth="1"/>
    <col min="4873" max="4873" width="9.140625" customWidth="1"/>
    <col min="5122" max="5122" width="12.7109375" customWidth="1"/>
    <col min="5123" max="5123" width="50.42578125" customWidth="1"/>
    <col min="5124" max="5124" width="9.85546875" customWidth="1"/>
    <col min="5125" max="5125" width="10.140625" customWidth="1"/>
    <col min="5126" max="5126" width="6.7109375" customWidth="1"/>
    <col min="5127" max="5127" width="9.7109375" customWidth="1"/>
    <col min="5128" max="5128" width="6.7109375" customWidth="1"/>
    <col min="5129" max="5129" width="9.140625" customWidth="1"/>
    <col min="5378" max="5378" width="12.7109375" customWidth="1"/>
    <col min="5379" max="5379" width="50.42578125" customWidth="1"/>
    <col min="5380" max="5380" width="9.85546875" customWidth="1"/>
    <col min="5381" max="5381" width="10.140625" customWidth="1"/>
    <col min="5382" max="5382" width="6.7109375" customWidth="1"/>
    <col min="5383" max="5383" width="9.7109375" customWidth="1"/>
    <col min="5384" max="5384" width="6.7109375" customWidth="1"/>
    <col min="5385" max="5385" width="9.140625" customWidth="1"/>
    <col min="5634" max="5634" width="12.7109375" customWidth="1"/>
    <col min="5635" max="5635" width="50.42578125" customWidth="1"/>
    <col min="5636" max="5636" width="9.85546875" customWidth="1"/>
    <col min="5637" max="5637" width="10.140625" customWidth="1"/>
    <col min="5638" max="5638" width="6.7109375" customWidth="1"/>
    <col min="5639" max="5639" width="9.7109375" customWidth="1"/>
    <col min="5640" max="5640" width="6.7109375" customWidth="1"/>
    <col min="5641" max="5641" width="9.140625" customWidth="1"/>
    <col min="5890" max="5890" width="12.7109375" customWidth="1"/>
    <col min="5891" max="5891" width="50.42578125" customWidth="1"/>
    <col min="5892" max="5892" width="9.85546875" customWidth="1"/>
    <col min="5893" max="5893" width="10.140625" customWidth="1"/>
    <col min="5894" max="5894" width="6.7109375" customWidth="1"/>
    <col min="5895" max="5895" width="9.7109375" customWidth="1"/>
    <col min="5896" max="5896" width="6.7109375" customWidth="1"/>
    <col min="5897" max="5897" width="9.140625" customWidth="1"/>
    <col min="6146" max="6146" width="12.7109375" customWidth="1"/>
    <col min="6147" max="6147" width="50.42578125" customWidth="1"/>
    <col min="6148" max="6148" width="9.85546875" customWidth="1"/>
    <col min="6149" max="6149" width="10.140625" customWidth="1"/>
    <col min="6150" max="6150" width="6.7109375" customWidth="1"/>
    <col min="6151" max="6151" width="9.7109375" customWidth="1"/>
    <col min="6152" max="6152" width="6.7109375" customWidth="1"/>
    <col min="6153" max="6153" width="9.140625" customWidth="1"/>
    <col min="6402" max="6402" width="12.7109375" customWidth="1"/>
    <col min="6403" max="6403" width="50.42578125" customWidth="1"/>
    <col min="6404" max="6404" width="9.85546875" customWidth="1"/>
    <col min="6405" max="6405" width="10.140625" customWidth="1"/>
    <col min="6406" max="6406" width="6.7109375" customWidth="1"/>
    <col min="6407" max="6407" width="9.7109375" customWidth="1"/>
    <col min="6408" max="6408" width="6.7109375" customWidth="1"/>
    <col min="6409" max="6409" width="9.140625" customWidth="1"/>
    <col min="6658" max="6658" width="12.7109375" customWidth="1"/>
    <col min="6659" max="6659" width="50.42578125" customWidth="1"/>
    <col min="6660" max="6660" width="9.85546875" customWidth="1"/>
    <col min="6661" max="6661" width="10.140625" customWidth="1"/>
    <col min="6662" max="6662" width="6.7109375" customWidth="1"/>
    <col min="6663" max="6663" width="9.7109375" customWidth="1"/>
    <col min="6664" max="6664" width="6.7109375" customWidth="1"/>
    <col min="6665" max="6665" width="9.140625" customWidth="1"/>
    <col min="6914" max="6914" width="12.7109375" customWidth="1"/>
    <col min="6915" max="6915" width="50.42578125" customWidth="1"/>
    <col min="6916" max="6916" width="9.85546875" customWidth="1"/>
    <col min="6917" max="6917" width="10.140625" customWidth="1"/>
    <col min="6918" max="6918" width="6.7109375" customWidth="1"/>
    <col min="6919" max="6919" width="9.7109375" customWidth="1"/>
    <col min="6920" max="6920" width="6.7109375" customWidth="1"/>
    <col min="6921" max="6921" width="9.140625" customWidth="1"/>
    <col min="7170" max="7170" width="12.7109375" customWidth="1"/>
    <col min="7171" max="7171" width="50.42578125" customWidth="1"/>
    <col min="7172" max="7172" width="9.85546875" customWidth="1"/>
    <col min="7173" max="7173" width="10.140625" customWidth="1"/>
    <col min="7174" max="7174" width="6.7109375" customWidth="1"/>
    <col min="7175" max="7175" width="9.7109375" customWidth="1"/>
    <col min="7176" max="7176" width="6.7109375" customWidth="1"/>
    <col min="7177" max="7177" width="9.140625" customWidth="1"/>
    <col min="7426" max="7426" width="12.7109375" customWidth="1"/>
    <col min="7427" max="7427" width="50.42578125" customWidth="1"/>
    <col min="7428" max="7428" width="9.85546875" customWidth="1"/>
    <col min="7429" max="7429" width="10.140625" customWidth="1"/>
    <col min="7430" max="7430" width="6.7109375" customWidth="1"/>
    <col min="7431" max="7431" width="9.7109375" customWidth="1"/>
    <col min="7432" max="7432" width="6.7109375" customWidth="1"/>
    <col min="7433" max="7433" width="9.140625" customWidth="1"/>
    <col min="7682" max="7682" width="12.7109375" customWidth="1"/>
    <col min="7683" max="7683" width="50.42578125" customWidth="1"/>
    <col min="7684" max="7684" width="9.85546875" customWidth="1"/>
    <col min="7685" max="7685" width="10.140625" customWidth="1"/>
    <col min="7686" max="7686" width="6.7109375" customWidth="1"/>
    <col min="7687" max="7687" width="9.7109375" customWidth="1"/>
    <col min="7688" max="7688" width="6.7109375" customWidth="1"/>
    <col min="7689" max="7689" width="9.140625" customWidth="1"/>
    <col min="7938" max="7938" width="12.7109375" customWidth="1"/>
    <col min="7939" max="7939" width="50.42578125" customWidth="1"/>
    <col min="7940" max="7940" width="9.85546875" customWidth="1"/>
    <col min="7941" max="7941" width="10.140625" customWidth="1"/>
    <col min="7942" max="7942" width="6.7109375" customWidth="1"/>
    <col min="7943" max="7943" width="9.7109375" customWidth="1"/>
    <col min="7944" max="7944" width="6.7109375" customWidth="1"/>
    <col min="7945" max="7945" width="9.140625" customWidth="1"/>
    <col min="8194" max="8194" width="12.7109375" customWidth="1"/>
    <col min="8195" max="8195" width="50.42578125" customWidth="1"/>
    <col min="8196" max="8196" width="9.85546875" customWidth="1"/>
    <col min="8197" max="8197" width="10.140625" customWidth="1"/>
    <col min="8198" max="8198" width="6.7109375" customWidth="1"/>
    <col min="8199" max="8199" width="9.7109375" customWidth="1"/>
    <col min="8200" max="8200" width="6.7109375" customWidth="1"/>
    <col min="8201" max="8201" width="9.140625" customWidth="1"/>
    <col min="8450" max="8450" width="12.7109375" customWidth="1"/>
    <col min="8451" max="8451" width="50.42578125" customWidth="1"/>
    <col min="8452" max="8452" width="9.85546875" customWidth="1"/>
    <col min="8453" max="8453" width="10.140625" customWidth="1"/>
    <col min="8454" max="8454" width="6.7109375" customWidth="1"/>
    <col min="8455" max="8455" width="9.7109375" customWidth="1"/>
    <col min="8456" max="8456" width="6.7109375" customWidth="1"/>
    <col min="8457" max="8457" width="9.140625" customWidth="1"/>
    <col min="8706" max="8706" width="12.7109375" customWidth="1"/>
    <col min="8707" max="8707" width="50.42578125" customWidth="1"/>
    <col min="8708" max="8708" width="9.85546875" customWidth="1"/>
    <col min="8709" max="8709" width="10.140625" customWidth="1"/>
    <col min="8710" max="8710" width="6.7109375" customWidth="1"/>
    <col min="8711" max="8711" width="9.7109375" customWidth="1"/>
    <col min="8712" max="8712" width="6.7109375" customWidth="1"/>
    <col min="8713" max="8713" width="9.140625" customWidth="1"/>
    <col min="8962" max="8962" width="12.7109375" customWidth="1"/>
    <col min="8963" max="8963" width="50.42578125" customWidth="1"/>
    <col min="8964" max="8964" width="9.85546875" customWidth="1"/>
    <col min="8965" max="8965" width="10.140625" customWidth="1"/>
    <col min="8966" max="8966" width="6.7109375" customWidth="1"/>
    <col min="8967" max="8967" width="9.7109375" customWidth="1"/>
    <col min="8968" max="8968" width="6.7109375" customWidth="1"/>
    <col min="8969" max="8969" width="9.140625" customWidth="1"/>
    <col min="9218" max="9218" width="12.7109375" customWidth="1"/>
    <col min="9219" max="9219" width="50.42578125" customWidth="1"/>
    <col min="9220" max="9220" width="9.85546875" customWidth="1"/>
    <col min="9221" max="9221" width="10.140625" customWidth="1"/>
    <col min="9222" max="9222" width="6.7109375" customWidth="1"/>
    <col min="9223" max="9223" width="9.7109375" customWidth="1"/>
    <col min="9224" max="9224" width="6.7109375" customWidth="1"/>
    <col min="9225" max="9225" width="9.140625" customWidth="1"/>
    <col min="9474" max="9474" width="12.7109375" customWidth="1"/>
    <col min="9475" max="9475" width="50.42578125" customWidth="1"/>
    <col min="9476" max="9476" width="9.85546875" customWidth="1"/>
    <col min="9477" max="9477" width="10.140625" customWidth="1"/>
    <col min="9478" max="9478" width="6.7109375" customWidth="1"/>
    <col min="9479" max="9479" width="9.7109375" customWidth="1"/>
    <col min="9480" max="9480" width="6.7109375" customWidth="1"/>
    <col min="9481" max="9481" width="9.140625" customWidth="1"/>
    <col min="9730" max="9730" width="12.7109375" customWidth="1"/>
    <col min="9731" max="9731" width="50.42578125" customWidth="1"/>
    <col min="9732" max="9732" width="9.85546875" customWidth="1"/>
    <col min="9733" max="9733" width="10.140625" customWidth="1"/>
    <col min="9734" max="9734" width="6.7109375" customWidth="1"/>
    <col min="9735" max="9735" width="9.7109375" customWidth="1"/>
    <col min="9736" max="9736" width="6.7109375" customWidth="1"/>
    <col min="9737" max="9737" width="9.140625" customWidth="1"/>
    <col min="9986" max="9986" width="12.7109375" customWidth="1"/>
    <col min="9987" max="9987" width="50.42578125" customWidth="1"/>
    <col min="9988" max="9988" width="9.85546875" customWidth="1"/>
    <col min="9989" max="9989" width="10.140625" customWidth="1"/>
    <col min="9990" max="9990" width="6.7109375" customWidth="1"/>
    <col min="9991" max="9991" width="9.7109375" customWidth="1"/>
    <col min="9992" max="9992" width="6.7109375" customWidth="1"/>
    <col min="9993" max="9993" width="9.140625" customWidth="1"/>
    <col min="10242" max="10242" width="12.7109375" customWidth="1"/>
    <col min="10243" max="10243" width="50.42578125" customWidth="1"/>
    <col min="10244" max="10244" width="9.85546875" customWidth="1"/>
    <col min="10245" max="10245" width="10.140625" customWidth="1"/>
    <col min="10246" max="10246" width="6.7109375" customWidth="1"/>
    <col min="10247" max="10247" width="9.7109375" customWidth="1"/>
    <col min="10248" max="10248" width="6.7109375" customWidth="1"/>
    <col min="10249" max="10249" width="9.140625" customWidth="1"/>
    <col min="10498" max="10498" width="12.7109375" customWidth="1"/>
    <col min="10499" max="10499" width="50.42578125" customWidth="1"/>
    <col min="10500" max="10500" width="9.85546875" customWidth="1"/>
    <col min="10501" max="10501" width="10.140625" customWidth="1"/>
    <col min="10502" max="10502" width="6.7109375" customWidth="1"/>
    <col min="10503" max="10503" width="9.7109375" customWidth="1"/>
    <col min="10504" max="10504" width="6.7109375" customWidth="1"/>
    <col min="10505" max="10505" width="9.140625" customWidth="1"/>
    <col min="10754" max="10754" width="12.7109375" customWidth="1"/>
    <col min="10755" max="10755" width="50.42578125" customWidth="1"/>
    <col min="10756" max="10756" width="9.85546875" customWidth="1"/>
    <col min="10757" max="10757" width="10.140625" customWidth="1"/>
    <col min="10758" max="10758" width="6.7109375" customWidth="1"/>
    <col min="10759" max="10759" width="9.7109375" customWidth="1"/>
    <col min="10760" max="10760" width="6.7109375" customWidth="1"/>
    <col min="10761" max="10761" width="9.140625" customWidth="1"/>
    <col min="11010" max="11010" width="12.7109375" customWidth="1"/>
    <col min="11011" max="11011" width="50.42578125" customWidth="1"/>
    <col min="11012" max="11012" width="9.85546875" customWidth="1"/>
    <col min="11013" max="11013" width="10.140625" customWidth="1"/>
    <col min="11014" max="11014" width="6.7109375" customWidth="1"/>
    <col min="11015" max="11015" width="9.7109375" customWidth="1"/>
    <col min="11016" max="11016" width="6.7109375" customWidth="1"/>
    <col min="11017" max="11017" width="9.140625" customWidth="1"/>
    <col min="11266" max="11266" width="12.7109375" customWidth="1"/>
    <col min="11267" max="11267" width="50.42578125" customWidth="1"/>
    <col min="11268" max="11268" width="9.85546875" customWidth="1"/>
    <col min="11269" max="11269" width="10.140625" customWidth="1"/>
    <col min="11270" max="11270" width="6.7109375" customWidth="1"/>
    <col min="11271" max="11271" width="9.7109375" customWidth="1"/>
    <col min="11272" max="11272" width="6.7109375" customWidth="1"/>
    <col min="11273" max="11273" width="9.140625" customWidth="1"/>
    <col min="11522" max="11522" width="12.7109375" customWidth="1"/>
    <col min="11523" max="11523" width="50.42578125" customWidth="1"/>
    <col min="11524" max="11524" width="9.85546875" customWidth="1"/>
    <col min="11525" max="11525" width="10.140625" customWidth="1"/>
    <col min="11526" max="11526" width="6.7109375" customWidth="1"/>
    <col min="11527" max="11527" width="9.7109375" customWidth="1"/>
    <col min="11528" max="11528" width="6.7109375" customWidth="1"/>
    <col min="11529" max="11529" width="9.140625" customWidth="1"/>
    <col min="11778" max="11778" width="12.7109375" customWidth="1"/>
    <col min="11779" max="11779" width="50.42578125" customWidth="1"/>
    <col min="11780" max="11780" width="9.85546875" customWidth="1"/>
    <col min="11781" max="11781" width="10.140625" customWidth="1"/>
    <col min="11782" max="11782" width="6.7109375" customWidth="1"/>
    <col min="11783" max="11783" width="9.7109375" customWidth="1"/>
    <col min="11784" max="11784" width="6.7109375" customWidth="1"/>
    <col min="11785" max="11785" width="9.140625" customWidth="1"/>
    <col min="12034" max="12034" width="12.7109375" customWidth="1"/>
    <col min="12035" max="12035" width="50.42578125" customWidth="1"/>
    <col min="12036" max="12036" width="9.85546875" customWidth="1"/>
    <col min="12037" max="12037" width="10.140625" customWidth="1"/>
    <col min="12038" max="12038" width="6.7109375" customWidth="1"/>
    <col min="12039" max="12039" width="9.7109375" customWidth="1"/>
    <col min="12040" max="12040" width="6.7109375" customWidth="1"/>
    <col min="12041" max="12041" width="9.140625" customWidth="1"/>
    <col min="12290" max="12290" width="12.7109375" customWidth="1"/>
    <col min="12291" max="12291" width="50.42578125" customWidth="1"/>
    <col min="12292" max="12292" width="9.85546875" customWidth="1"/>
    <col min="12293" max="12293" width="10.140625" customWidth="1"/>
    <col min="12294" max="12294" width="6.7109375" customWidth="1"/>
    <col min="12295" max="12295" width="9.7109375" customWidth="1"/>
    <col min="12296" max="12296" width="6.7109375" customWidth="1"/>
    <col min="12297" max="12297" width="9.140625" customWidth="1"/>
    <col min="12546" max="12546" width="12.7109375" customWidth="1"/>
    <col min="12547" max="12547" width="50.42578125" customWidth="1"/>
    <col min="12548" max="12548" width="9.85546875" customWidth="1"/>
    <col min="12549" max="12549" width="10.140625" customWidth="1"/>
    <col min="12550" max="12550" width="6.7109375" customWidth="1"/>
    <col min="12551" max="12551" width="9.7109375" customWidth="1"/>
    <col min="12552" max="12552" width="6.7109375" customWidth="1"/>
    <col min="12553" max="12553" width="9.140625" customWidth="1"/>
    <col min="12802" max="12802" width="12.7109375" customWidth="1"/>
    <col min="12803" max="12803" width="50.42578125" customWidth="1"/>
    <col min="12804" max="12804" width="9.85546875" customWidth="1"/>
    <col min="12805" max="12805" width="10.140625" customWidth="1"/>
    <col min="12806" max="12806" width="6.7109375" customWidth="1"/>
    <col min="12807" max="12807" width="9.7109375" customWidth="1"/>
    <col min="12808" max="12808" width="6.7109375" customWidth="1"/>
    <col min="12809" max="12809" width="9.140625" customWidth="1"/>
    <col min="13058" max="13058" width="12.7109375" customWidth="1"/>
    <col min="13059" max="13059" width="50.42578125" customWidth="1"/>
    <col min="13060" max="13060" width="9.85546875" customWidth="1"/>
    <col min="13061" max="13061" width="10.140625" customWidth="1"/>
    <col min="13062" max="13062" width="6.7109375" customWidth="1"/>
    <col min="13063" max="13063" width="9.7109375" customWidth="1"/>
    <col min="13064" max="13064" width="6.7109375" customWidth="1"/>
    <col min="13065" max="13065" width="9.140625" customWidth="1"/>
    <col min="13314" max="13314" width="12.7109375" customWidth="1"/>
    <col min="13315" max="13315" width="50.42578125" customWidth="1"/>
    <col min="13316" max="13316" width="9.85546875" customWidth="1"/>
    <col min="13317" max="13317" width="10.140625" customWidth="1"/>
    <col min="13318" max="13318" width="6.7109375" customWidth="1"/>
    <col min="13319" max="13319" width="9.7109375" customWidth="1"/>
    <col min="13320" max="13320" width="6.7109375" customWidth="1"/>
    <col min="13321" max="13321" width="9.140625" customWidth="1"/>
    <col min="13570" max="13570" width="12.7109375" customWidth="1"/>
    <col min="13571" max="13571" width="50.42578125" customWidth="1"/>
    <col min="13572" max="13572" width="9.85546875" customWidth="1"/>
    <col min="13573" max="13573" width="10.140625" customWidth="1"/>
    <col min="13574" max="13574" width="6.7109375" customWidth="1"/>
    <col min="13575" max="13575" width="9.7109375" customWidth="1"/>
    <col min="13576" max="13576" width="6.7109375" customWidth="1"/>
    <col min="13577" max="13577" width="9.140625" customWidth="1"/>
    <col min="13826" max="13826" width="12.7109375" customWidth="1"/>
    <col min="13827" max="13827" width="50.42578125" customWidth="1"/>
    <col min="13828" max="13828" width="9.85546875" customWidth="1"/>
    <col min="13829" max="13829" width="10.140625" customWidth="1"/>
    <col min="13830" max="13830" width="6.7109375" customWidth="1"/>
    <col min="13831" max="13831" width="9.7109375" customWidth="1"/>
    <col min="13832" max="13832" width="6.7109375" customWidth="1"/>
    <col min="13833" max="13833" width="9.140625" customWidth="1"/>
    <col min="14082" max="14082" width="12.7109375" customWidth="1"/>
    <col min="14083" max="14083" width="50.42578125" customWidth="1"/>
    <col min="14084" max="14084" width="9.85546875" customWidth="1"/>
    <col min="14085" max="14085" width="10.140625" customWidth="1"/>
    <col min="14086" max="14086" width="6.7109375" customWidth="1"/>
    <col min="14087" max="14087" width="9.7109375" customWidth="1"/>
    <col min="14088" max="14088" width="6.7109375" customWidth="1"/>
    <col min="14089" max="14089" width="9.140625" customWidth="1"/>
    <col min="14338" max="14338" width="12.7109375" customWidth="1"/>
    <col min="14339" max="14339" width="50.42578125" customWidth="1"/>
    <col min="14340" max="14340" width="9.85546875" customWidth="1"/>
    <col min="14341" max="14341" width="10.140625" customWidth="1"/>
    <col min="14342" max="14342" width="6.7109375" customWidth="1"/>
    <col min="14343" max="14343" width="9.7109375" customWidth="1"/>
    <col min="14344" max="14344" width="6.7109375" customWidth="1"/>
    <col min="14345" max="14345" width="9.140625" customWidth="1"/>
    <col min="14594" max="14594" width="12.7109375" customWidth="1"/>
    <col min="14595" max="14595" width="50.42578125" customWidth="1"/>
    <col min="14596" max="14596" width="9.85546875" customWidth="1"/>
    <col min="14597" max="14597" width="10.140625" customWidth="1"/>
    <col min="14598" max="14598" width="6.7109375" customWidth="1"/>
    <col min="14599" max="14599" width="9.7109375" customWidth="1"/>
    <col min="14600" max="14600" width="6.7109375" customWidth="1"/>
    <col min="14601" max="14601" width="9.140625" customWidth="1"/>
    <col min="14850" max="14850" width="12.7109375" customWidth="1"/>
    <col min="14851" max="14851" width="50.42578125" customWidth="1"/>
    <col min="14852" max="14852" width="9.85546875" customWidth="1"/>
    <col min="14853" max="14853" width="10.140625" customWidth="1"/>
    <col min="14854" max="14854" width="6.7109375" customWidth="1"/>
    <col min="14855" max="14855" width="9.7109375" customWidth="1"/>
    <col min="14856" max="14856" width="6.7109375" customWidth="1"/>
    <col min="14857" max="14857" width="9.140625" customWidth="1"/>
    <col min="15106" max="15106" width="12.7109375" customWidth="1"/>
    <col min="15107" max="15107" width="50.42578125" customWidth="1"/>
    <col min="15108" max="15108" width="9.85546875" customWidth="1"/>
    <col min="15109" max="15109" width="10.140625" customWidth="1"/>
    <col min="15110" max="15110" width="6.7109375" customWidth="1"/>
    <col min="15111" max="15111" width="9.7109375" customWidth="1"/>
    <col min="15112" max="15112" width="6.7109375" customWidth="1"/>
    <col min="15113" max="15113" width="9.140625" customWidth="1"/>
    <col min="15362" max="15362" width="12.7109375" customWidth="1"/>
    <col min="15363" max="15363" width="50.42578125" customWidth="1"/>
    <col min="15364" max="15364" width="9.85546875" customWidth="1"/>
    <col min="15365" max="15365" width="10.140625" customWidth="1"/>
    <col min="15366" max="15366" width="6.7109375" customWidth="1"/>
    <col min="15367" max="15367" width="9.7109375" customWidth="1"/>
    <col min="15368" max="15368" width="6.7109375" customWidth="1"/>
    <col min="15369" max="15369" width="9.140625" customWidth="1"/>
    <col min="15618" max="15618" width="12.7109375" customWidth="1"/>
    <col min="15619" max="15619" width="50.42578125" customWidth="1"/>
    <col min="15620" max="15620" width="9.85546875" customWidth="1"/>
    <col min="15621" max="15621" width="10.140625" customWidth="1"/>
    <col min="15622" max="15622" width="6.7109375" customWidth="1"/>
    <col min="15623" max="15623" width="9.7109375" customWidth="1"/>
    <col min="15624" max="15624" width="6.7109375" customWidth="1"/>
    <col min="15625" max="15625" width="9.140625" customWidth="1"/>
    <col min="15874" max="15874" width="12.7109375" customWidth="1"/>
    <col min="15875" max="15875" width="50.42578125" customWidth="1"/>
    <col min="15876" max="15876" width="9.85546875" customWidth="1"/>
    <col min="15877" max="15877" width="10.140625" customWidth="1"/>
    <col min="15878" max="15878" width="6.7109375" customWidth="1"/>
    <col min="15879" max="15879" width="9.7109375" customWidth="1"/>
    <col min="15880" max="15880" width="6.7109375" customWidth="1"/>
    <col min="15881" max="15881" width="9.140625" customWidth="1"/>
    <col min="16130" max="16130" width="12.7109375" customWidth="1"/>
    <col min="16131" max="16131" width="50.42578125" customWidth="1"/>
    <col min="16132" max="16132" width="9.85546875" customWidth="1"/>
    <col min="16133" max="16133" width="10.140625" customWidth="1"/>
    <col min="16134" max="16134" width="6.7109375" customWidth="1"/>
    <col min="16135" max="16135" width="9.7109375" customWidth="1"/>
    <col min="16136" max="16136" width="6.7109375" customWidth="1"/>
    <col min="16137" max="16137" width="9.140625" customWidth="1"/>
  </cols>
  <sheetData>
    <row r="1" spans="2:9">
      <c r="B1" s="400"/>
      <c r="C1" s="399" t="s">
        <v>187</v>
      </c>
      <c r="D1" s="321" t="s">
        <v>1869</v>
      </c>
      <c r="E1" s="401"/>
      <c r="F1" s="323"/>
      <c r="G1" s="401"/>
      <c r="H1" s="325"/>
      <c r="I1" s="87"/>
    </row>
    <row r="2" spans="2:9">
      <c r="B2" s="400"/>
      <c r="C2" s="399" t="s">
        <v>188</v>
      </c>
      <c r="D2" s="1116">
        <v>17862944</v>
      </c>
      <c r="E2" s="401"/>
      <c r="F2" s="323"/>
      <c r="G2" s="401"/>
      <c r="H2" s="325"/>
      <c r="I2" s="87"/>
    </row>
    <row r="3" spans="2:9">
      <c r="B3" s="400"/>
      <c r="C3" s="399"/>
      <c r="D3" s="321"/>
      <c r="E3" s="401"/>
      <c r="F3" s="323"/>
      <c r="G3" s="401"/>
      <c r="H3" s="325"/>
      <c r="I3" s="87"/>
    </row>
    <row r="4" spans="2:9" ht="14.25">
      <c r="B4" s="400"/>
      <c r="C4" s="399" t="s">
        <v>1905</v>
      </c>
      <c r="D4" s="322" t="s">
        <v>1907</v>
      </c>
      <c r="E4" s="402"/>
      <c r="F4" s="324"/>
      <c r="G4" s="402"/>
      <c r="H4" s="326"/>
      <c r="I4" s="87"/>
    </row>
    <row r="5" spans="2:9" ht="14.25">
      <c r="B5" s="400"/>
      <c r="C5" s="399" t="s">
        <v>55</v>
      </c>
      <c r="D5" s="322"/>
      <c r="E5" s="402"/>
      <c r="F5" s="324"/>
      <c r="G5" s="402"/>
      <c r="H5" s="326"/>
      <c r="I5" s="87"/>
    </row>
    <row r="6" spans="2:9" ht="15.75">
      <c r="B6" s="142"/>
      <c r="C6" s="142"/>
      <c r="D6" s="142"/>
      <c r="E6" s="142"/>
      <c r="F6" s="142"/>
      <c r="G6" s="142"/>
      <c r="H6" s="312"/>
      <c r="I6" s="312"/>
    </row>
    <row r="7" spans="2:9">
      <c r="B7" s="1864" t="s">
        <v>119</v>
      </c>
      <c r="C7" s="1864" t="s">
        <v>231</v>
      </c>
      <c r="D7" s="1858" t="s">
        <v>1784</v>
      </c>
      <c r="E7" s="1858"/>
      <c r="F7" s="1858" t="s">
        <v>1783</v>
      </c>
      <c r="G7" s="1858"/>
      <c r="H7" s="1858" t="s">
        <v>87</v>
      </c>
      <c r="I7" s="1858"/>
    </row>
    <row r="8" spans="2:9" ht="60" customHeight="1" thickBot="1">
      <c r="B8" s="1879"/>
      <c r="C8" s="1879"/>
      <c r="D8" s="929" t="s">
        <v>4078</v>
      </c>
      <c r="E8" s="1283" t="s">
        <v>4071</v>
      </c>
      <c r="F8" s="929" t="s">
        <v>4078</v>
      </c>
      <c r="G8" s="1283" t="s">
        <v>4071</v>
      </c>
      <c r="H8" s="929" t="s">
        <v>4078</v>
      </c>
      <c r="I8" s="1283" t="s">
        <v>4071</v>
      </c>
    </row>
    <row r="9" spans="2:9" ht="19.5" customHeight="1">
      <c r="B9" s="1129"/>
      <c r="C9" s="403" t="s">
        <v>1908</v>
      </c>
      <c r="D9" s="1880" t="s">
        <v>1909</v>
      </c>
      <c r="E9" s="1881"/>
      <c r="F9" s="1881"/>
      <c r="G9" s="1881"/>
      <c r="H9" s="1881"/>
      <c r="I9" s="1881"/>
    </row>
    <row r="10" spans="2:9" ht="15.75">
      <c r="B10" s="1130"/>
      <c r="C10" s="404" t="s">
        <v>1910</v>
      </c>
      <c r="D10" s="405"/>
      <c r="E10" s="405"/>
      <c r="F10" s="405"/>
      <c r="G10" s="405"/>
      <c r="H10" s="405"/>
      <c r="I10" s="405"/>
    </row>
    <row r="11" spans="2:9" ht="15" customHeight="1">
      <c r="B11" s="406" t="s">
        <v>1911</v>
      </c>
      <c r="C11" s="407" t="s">
        <v>1912</v>
      </c>
      <c r="D11" s="408"/>
      <c r="E11" s="409"/>
      <c r="F11" s="410"/>
      <c r="G11" s="410">
        <v>1</v>
      </c>
      <c r="H11" s="1123">
        <v>0</v>
      </c>
      <c r="I11" s="282">
        <f t="shared" ref="I11:I71" si="0">E11+G11</f>
        <v>1</v>
      </c>
    </row>
    <row r="12" spans="2:9" ht="15" customHeight="1">
      <c r="B12" s="411" t="s">
        <v>1913</v>
      </c>
      <c r="C12" s="412" t="s">
        <v>1914</v>
      </c>
      <c r="D12" s="408"/>
      <c r="E12" s="408"/>
      <c r="F12" s="410"/>
      <c r="G12" s="410">
        <v>1</v>
      </c>
      <c r="H12" s="282">
        <f>D12+F12</f>
        <v>0</v>
      </c>
      <c r="I12" s="282">
        <f t="shared" si="0"/>
        <v>1</v>
      </c>
    </row>
    <row r="13" spans="2:9" ht="15" customHeight="1">
      <c r="B13" s="1260" t="s">
        <v>2169</v>
      </c>
      <c r="C13" s="1272" t="s">
        <v>2170</v>
      </c>
      <c r="D13" s="1270"/>
      <c r="E13" s="1270"/>
      <c r="F13" s="1271"/>
      <c r="G13" s="1271">
        <v>1</v>
      </c>
      <c r="H13" s="1266"/>
      <c r="I13" s="1266">
        <v>1</v>
      </c>
    </row>
    <row r="14" spans="2:9" ht="15" customHeight="1">
      <c r="B14" s="406" t="s">
        <v>1915</v>
      </c>
      <c r="C14" s="407" t="s">
        <v>1916</v>
      </c>
      <c r="D14" s="408"/>
      <c r="E14" s="409"/>
      <c r="F14" s="410"/>
      <c r="G14" s="410">
        <v>1</v>
      </c>
      <c r="H14" s="1123">
        <v>0</v>
      </c>
      <c r="I14" s="282">
        <f t="shared" si="0"/>
        <v>1</v>
      </c>
    </row>
    <row r="15" spans="2:9" ht="15" customHeight="1">
      <c r="B15" s="406" t="s">
        <v>1917</v>
      </c>
      <c r="C15" s="407" t="s">
        <v>1918</v>
      </c>
      <c r="D15" s="408"/>
      <c r="E15" s="409"/>
      <c r="F15" s="410"/>
      <c r="G15" s="410"/>
      <c r="H15" s="1123">
        <v>0</v>
      </c>
      <c r="I15" s="282">
        <f t="shared" si="0"/>
        <v>0</v>
      </c>
    </row>
    <row r="16" spans="2:9" ht="15" customHeight="1">
      <c r="B16" s="406" t="s">
        <v>1919</v>
      </c>
      <c r="C16" s="407" t="s">
        <v>1920</v>
      </c>
      <c r="D16" s="408"/>
      <c r="E16" s="408"/>
      <c r="F16" s="410">
        <v>16</v>
      </c>
      <c r="G16" s="410">
        <v>10</v>
      </c>
      <c r="H16" s="282">
        <f t="shared" ref="H16:H23" si="1">D16+F16</f>
        <v>16</v>
      </c>
      <c r="I16" s="282">
        <f t="shared" si="0"/>
        <v>10</v>
      </c>
    </row>
    <row r="17" spans="2:9" ht="15" customHeight="1">
      <c r="B17" s="411" t="s">
        <v>1921</v>
      </c>
      <c r="C17" s="412" t="s">
        <v>1922</v>
      </c>
      <c r="D17" s="408"/>
      <c r="E17" s="408"/>
      <c r="F17" s="410">
        <v>2</v>
      </c>
      <c r="G17" s="410">
        <v>1</v>
      </c>
      <c r="H17" s="282">
        <f t="shared" si="1"/>
        <v>2</v>
      </c>
      <c r="I17" s="282">
        <f t="shared" si="0"/>
        <v>1</v>
      </c>
    </row>
    <row r="18" spans="2:9" ht="15" customHeight="1">
      <c r="B18" s="406" t="s">
        <v>1923</v>
      </c>
      <c r="C18" s="407" t="s">
        <v>1924</v>
      </c>
      <c r="D18" s="408"/>
      <c r="E18" s="408"/>
      <c r="F18" s="410">
        <v>4</v>
      </c>
      <c r="G18" s="410">
        <v>1</v>
      </c>
      <c r="H18" s="282">
        <f t="shared" si="1"/>
        <v>4</v>
      </c>
      <c r="I18" s="282">
        <f t="shared" si="0"/>
        <v>1</v>
      </c>
    </row>
    <row r="19" spans="2:9" ht="15" customHeight="1">
      <c r="B19" s="411" t="s">
        <v>1925</v>
      </c>
      <c r="C19" s="412" t="s">
        <v>1926</v>
      </c>
      <c r="D19" s="408"/>
      <c r="E19" s="408"/>
      <c r="F19" s="410">
        <v>2</v>
      </c>
      <c r="G19" s="410">
        <v>2</v>
      </c>
      <c r="H19" s="282">
        <f t="shared" si="1"/>
        <v>2</v>
      </c>
      <c r="I19" s="282">
        <f t="shared" si="0"/>
        <v>2</v>
      </c>
    </row>
    <row r="20" spans="2:9" ht="15" customHeight="1">
      <c r="B20" s="1260" t="s">
        <v>3983</v>
      </c>
      <c r="C20" s="1272" t="s">
        <v>3984</v>
      </c>
      <c r="D20" s="1270"/>
      <c r="E20" s="1270"/>
      <c r="F20" s="1271"/>
      <c r="G20" s="1271"/>
      <c r="H20" s="1266"/>
      <c r="I20" s="1266">
        <v>1</v>
      </c>
    </row>
    <row r="21" spans="2:9" ht="15" customHeight="1">
      <c r="B21" s="411" t="s">
        <v>1927</v>
      </c>
      <c r="C21" s="412" t="s">
        <v>1928</v>
      </c>
      <c r="D21" s="408"/>
      <c r="E21" s="408"/>
      <c r="F21" s="410"/>
      <c r="G21" s="410">
        <v>1</v>
      </c>
      <c r="H21" s="282">
        <f t="shared" si="1"/>
        <v>0</v>
      </c>
      <c r="I21" s="282">
        <f t="shared" si="0"/>
        <v>1</v>
      </c>
    </row>
    <row r="22" spans="2:9" ht="15" customHeight="1">
      <c r="B22" s="411" t="s">
        <v>1929</v>
      </c>
      <c r="C22" s="412" t="s">
        <v>1930</v>
      </c>
      <c r="D22" s="408"/>
      <c r="E22" s="408"/>
      <c r="F22" s="410">
        <v>1</v>
      </c>
      <c r="G22" s="410">
        <v>3</v>
      </c>
      <c r="H22" s="282">
        <f t="shared" si="1"/>
        <v>1</v>
      </c>
      <c r="I22" s="282">
        <f t="shared" si="0"/>
        <v>3</v>
      </c>
    </row>
    <row r="23" spans="2:9" ht="15" customHeight="1">
      <c r="B23" s="406" t="s">
        <v>1931</v>
      </c>
      <c r="C23" s="413" t="s">
        <v>1932</v>
      </c>
      <c r="D23" s="408"/>
      <c r="E23" s="408"/>
      <c r="F23" s="410"/>
      <c r="G23" s="410">
        <v>1</v>
      </c>
      <c r="H23" s="282">
        <f t="shared" si="1"/>
        <v>0</v>
      </c>
      <c r="I23" s="282">
        <f t="shared" si="0"/>
        <v>1</v>
      </c>
    </row>
    <row r="24" spans="2:9" ht="15" customHeight="1">
      <c r="B24" s="406" t="s">
        <v>1933</v>
      </c>
      <c r="C24" s="407" t="s">
        <v>1934</v>
      </c>
      <c r="D24" s="408"/>
      <c r="E24" s="409"/>
      <c r="F24" s="410"/>
      <c r="G24" s="410"/>
      <c r="H24" s="1123">
        <v>0</v>
      </c>
      <c r="I24" s="282">
        <f t="shared" si="0"/>
        <v>0</v>
      </c>
    </row>
    <row r="25" spans="2:9" ht="15" customHeight="1">
      <c r="B25" s="406" t="s">
        <v>1935</v>
      </c>
      <c r="C25" s="1109" t="s">
        <v>1936</v>
      </c>
      <c r="D25" s="414"/>
      <c r="E25" s="414"/>
      <c r="F25" s="1110"/>
      <c r="G25" s="1110">
        <v>1</v>
      </c>
      <c r="H25" s="469">
        <f t="shared" ref="H25:H42" si="2">D25+F25</f>
        <v>0</v>
      </c>
      <c r="I25" s="282">
        <f t="shared" si="0"/>
        <v>1</v>
      </c>
    </row>
    <row r="26" spans="2:9" ht="15" customHeight="1">
      <c r="B26" s="1260" t="s">
        <v>3978</v>
      </c>
      <c r="C26" s="1273" t="s">
        <v>3979</v>
      </c>
      <c r="D26" s="1274"/>
      <c r="E26" s="1274"/>
      <c r="F26" s="1275"/>
      <c r="G26" s="1275">
        <v>1</v>
      </c>
      <c r="H26" s="1276"/>
      <c r="I26" s="1266">
        <v>1</v>
      </c>
    </row>
    <row r="27" spans="2:9" ht="15" customHeight="1">
      <c r="B27" s="1260" t="s">
        <v>4067</v>
      </c>
      <c r="C27" s="1273" t="s">
        <v>4068</v>
      </c>
      <c r="D27" s="1274"/>
      <c r="E27" s="1274"/>
      <c r="F27" s="1275"/>
      <c r="G27" s="1275">
        <v>1</v>
      </c>
      <c r="H27" s="1276"/>
      <c r="I27" s="1266">
        <v>1</v>
      </c>
    </row>
    <row r="28" spans="2:9" ht="15" customHeight="1">
      <c r="B28" s="1260" t="s">
        <v>1937</v>
      </c>
      <c r="C28" s="1264" t="s">
        <v>1938</v>
      </c>
      <c r="D28" s="1277"/>
      <c r="E28" s="1278"/>
      <c r="F28" s="1271">
        <v>1</v>
      </c>
      <c r="G28" s="1271">
        <v>1</v>
      </c>
      <c r="H28" s="1266">
        <f t="shared" si="2"/>
        <v>1</v>
      </c>
      <c r="I28" s="1266">
        <f t="shared" si="0"/>
        <v>1</v>
      </c>
    </row>
    <row r="29" spans="2:9" ht="15" customHeight="1">
      <c r="B29" s="1260" t="s">
        <v>3980</v>
      </c>
      <c r="C29" s="1272" t="s">
        <v>3981</v>
      </c>
      <c r="D29" s="1270"/>
      <c r="E29" s="1270"/>
      <c r="F29" s="1271"/>
      <c r="G29" s="1271"/>
      <c r="H29" s="1266"/>
      <c r="I29" s="1266">
        <v>1</v>
      </c>
    </row>
    <row r="30" spans="2:9" ht="15" customHeight="1">
      <c r="B30" s="1260" t="s">
        <v>2694</v>
      </c>
      <c r="C30" s="1272" t="s">
        <v>3997</v>
      </c>
      <c r="D30" s="1270"/>
      <c r="E30" s="1270"/>
      <c r="F30" s="1271"/>
      <c r="G30" s="1271"/>
      <c r="H30" s="1266"/>
      <c r="I30" s="1266">
        <v>1</v>
      </c>
    </row>
    <row r="31" spans="2:9" ht="15" customHeight="1">
      <c r="B31" s="1260" t="s">
        <v>1939</v>
      </c>
      <c r="C31" s="1272" t="s">
        <v>3982</v>
      </c>
      <c r="D31" s="1278"/>
      <c r="E31" s="1278"/>
      <c r="F31" s="1271">
        <v>1</v>
      </c>
      <c r="G31" s="1271">
        <v>1</v>
      </c>
      <c r="H31" s="1266">
        <f t="shared" si="2"/>
        <v>1</v>
      </c>
      <c r="I31" s="1266">
        <f t="shared" si="0"/>
        <v>1</v>
      </c>
    </row>
    <row r="32" spans="2:9" ht="15" customHeight="1">
      <c r="B32" s="406" t="s">
        <v>1940</v>
      </c>
      <c r="C32" s="407" t="s">
        <v>1941</v>
      </c>
      <c r="D32" s="415"/>
      <c r="E32" s="408"/>
      <c r="F32" s="410">
        <v>1</v>
      </c>
      <c r="G32" s="410">
        <v>1</v>
      </c>
      <c r="H32" s="282">
        <f t="shared" si="2"/>
        <v>1</v>
      </c>
      <c r="I32" s="282">
        <f t="shared" si="0"/>
        <v>1</v>
      </c>
    </row>
    <row r="33" spans="2:9" ht="15" customHeight="1">
      <c r="B33" s="406" t="s">
        <v>1942</v>
      </c>
      <c r="C33" s="407" t="s">
        <v>1943</v>
      </c>
      <c r="D33" s="283"/>
      <c r="E33" s="283"/>
      <c r="F33" s="1124"/>
      <c r="G33" s="1124">
        <v>1</v>
      </c>
      <c r="H33" s="282">
        <f t="shared" si="2"/>
        <v>0</v>
      </c>
      <c r="I33" s="282">
        <f t="shared" si="0"/>
        <v>1</v>
      </c>
    </row>
    <row r="34" spans="2:9" ht="15" customHeight="1">
      <c r="B34" s="406" t="s">
        <v>1944</v>
      </c>
      <c r="C34" s="407" t="s">
        <v>1945</v>
      </c>
      <c r="D34" s="408"/>
      <c r="E34" s="408"/>
      <c r="F34" s="410"/>
      <c r="G34" s="410"/>
      <c r="H34" s="282">
        <f t="shared" si="2"/>
        <v>0</v>
      </c>
      <c r="I34" s="282">
        <f t="shared" si="0"/>
        <v>0</v>
      </c>
    </row>
    <row r="35" spans="2:9" ht="15" customHeight="1">
      <c r="B35" s="406" t="s">
        <v>1946</v>
      </c>
      <c r="C35" s="407" t="s">
        <v>1947</v>
      </c>
      <c r="D35" s="408"/>
      <c r="E35" s="408"/>
      <c r="F35" s="410"/>
      <c r="G35" s="410">
        <v>1</v>
      </c>
      <c r="H35" s="282">
        <f t="shared" si="2"/>
        <v>0</v>
      </c>
      <c r="I35" s="282">
        <f t="shared" si="0"/>
        <v>1</v>
      </c>
    </row>
    <row r="36" spans="2:9" ht="15" customHeight="1">
      <c r="B36" s="406" t="s">
        <v>1948</v>
      </c>
      <c r="C36" s="416" t="s">
        <v>1949</v>
      </c>
      <c r="D36" s="408"/>
      <c r="E36" s="408"/>
      <c r="F36" s="410"/>
      <c r="G36" s="410">
        <v>1</v>
      </c>
      <c r="H36" s="282">
        <f t="shared" si="2"/>
        <v>0</v>
      </c>
      <c r="I36" s="282">
        <f t="shared" si="0"/>
        <v>1</v>
      </c>
    </row>
    <row r="37" spans="2:9" ht="15" customHeight="1">
      <c r="B37" s="406" t="s">
        <v>1950</v>
      </c>
      <c r="C37" s="416" t="s">
        <v>1951</v>
      </c>
      <c r="D37" s="408"/>
      <c r="E37" s="408"/>
      <c r="F37" s="410"/>
      <c r="G37" s="410"/>
      <c r="H37" s="282">
        <f t="shared" si="2"/>
        <v>0</v>
      </c>
      <c r="I37" s="282">
        <f t="shared" si="0"/>
        <v>0</v>
      </c>
    </row>
    <row r="38" spans="2:9" ht="15" customHeight="1">
      <c r="B38" s="406" t="s">
        <v>1952</v>
      </c>
      <c r="C38" s="416" t="s">
        <v>1953</v>
      </c>
      <c r="D38" s="408"/>
      <c r="E38" s="408"/>
      <c r="F38" s="410"/>
      <c r="G38" s="410">
        <v>1</v>
      </c>
      <c r="H38" s="282">
        <f t="shared" si="2"/>
        <v>0</v>
      </c>
      <c r="I38" s="282">
        <f t="shared" si="0"/>
        <v>1</v>
      </c>
    </row>
    <row r="39" spans="2:9" ht="15" customHeight="1">
      <c r="B39" s="406" t="s">
        <v>1954</v>
      </c>
      <c r="C39" s="416" t="s">
        <v>1955</v>
      </c>
      <c r="D39" s="409"/>
      <c r="E39" s="409"/>
      <c r="F39" s="410"/>
      <c r="G39" s="410">
        <v>1</v>
      </c>
      <c r="H39" s="282">
        <f t="shared" si="2"/>
        <v>0</v>
      </c>
      <c r="I39" s="282">
        <f t="shared" si="0"/>
        <v>1</v>
      </c>
    </row>
    <row r="40" spans="2:9" ht="15" customHeight="1">
      <c r="B40" s="406" t="s">
        <v>1956</v>
      </c>
      <c r="C40" s="416" t="s">
        <v>1957</v>
      </c>
      <c r="D40" s="409"/>
      <c r="E40" s="409"/>
      <c r="F40" s="410">
        <v>5</v>
      </c>
      <c r="G40" s="410">
        <v>1</v>
      </c>
      <c r="H40" s="282">
        <f t="shared" si="2"/>
        <v>5</v>
      </c>
      <c r="I40" s="282">
        <f t="shared" si="0"/>
        <v>1</v>
      </c>
    </row>
    <row r="41" spans="2:9" ht="15" customHeight="1">
      <c r="B41" s="406" t="s">
        <v>1958</v>
      </c>
      <c r="C41" s="416" t="s">
        <v>1959</v>
      </c>
      <c r="D41" s="409"/>
      <c r="E41" s="409"/>
      <c r="F41" s="410"/>
      <c r="G41" s="410">
        <v>1</v>
      </c>
      <c r="H41" s="282">
        <f t="shared" si="2"/>
        <v>0</v>
      </c>
      <c r="I41" s="282">
        <f t="shared" si="0"/>
        <v>1</v>
      </c>
    </row>
    <row r="42" spans="2:9" ht="15" customHeight="1">
      <c r="B42" s="406" t="s">
        <v>1960</v>
      </c>
      <c r="C42" s="416" t="s">
        <v>1961</v>
      </c>
      <c r="D42" s="409"/>
      <c r="E42" s="409"/>
      <c r="F42" s="410">
        <v>6</v>
      </c>
      <c r="G42" s="410">
        <v>3</v>
      </c>
      <c r="H42" s="282">
        <f t="shared" si="2"/>
        <v>6</v>
      </c>
      <c r="I42" s="282">
        <f t="shared" si="0"/>
        <v>3</v>
      </c>
    </row>
    <row r="43" spans="2:9" ht="15" customHeight="1">
      <c r="B43" s="406" t="s">
        <v>1962</v>
      </c>
      <c r="C43" s="416" t="s">
        <v>1963</v>
      </c>
      <c r="D43" s="408"/>
      <c r="E43" s="409"/>
      <c r="F43" s="410"/>
      <c r="G43" s="410">
        <v>1</v>
      </c>
      <c r="H43" s="1123">
        <v>0</v>
      </c>
      <c r="I43" s="282">
        <f t="shared" si="0"/>
        <v>1</v>
      </c>
    </row>
    <row r="44" spans="2:9" ht="15" customHeight="1">
      <c r="B44" s="406" t="s">
        <v>1964</v>
      </c>
      <c r="C44" s="416" t="s">
        <v>1965</v>
      </c>
      <c r="D44" s="408"/>
      <c r="E44" s="408"/>
      <c r="F44" s="410"/>
      <c r="G44" s="410">
        <v>1</v>
      </c>
      <c r="H44" s="282">
        <f t="shared" ref="H44:H49" si="3">D44+F44</f>
        <v>0</v>
      </c>
      <c r="I44" s="282">
        <f t="shared" si="0"/>
        <v>1</v>
      </c>
    </row>
    <row r="45" spans="2:9" ht="15" customHeight="1">
      <c r="B45" s="406" t="s">
        <v>1966</v>
      </c>
      <c r="C45" s="416" t="s">
        <v>1967</v>
      </c>
      <c r="D45" s="408"/>
      <c r="E45" s="408"/>
      <c r="F45" s="410">
        <v>3</v>
      </c>
      <c r="G45" s="410">
        <v>1</v>
      </c>
      <c r="H45" s="282">
        <f t="shared" si="3"/>
        <v>3</v>
      </c>
      <c r="I45" s="282">
        <f t="shared" si="0"/>
        <v>1</v>
      </c>
    </row>
    <row r="46" spans="2:9" ht="15" customHeight="1">
      <c r="B46" s="417" t="s">
        <v>1968</v>
      </c>
      <c r="C46" s="418" t="s">
        <v>1969</v>
      </c>
      <c r="D46" s="419"/>
      <c r="E46" s="409"/>
      <c r="F46" s="410">
        <v>9</v>
      </c>
      <c r="G46" s="410">
        <v>3</v>
      </c>
      <c r="H46" s="420">
        <f t="shared" si="3"/>
        <v>9</v>
      </c>
      <c r="I46" s="282">
        <f t="shared" si="0"/>
        <v>3</v>
      </c>
    </row>
    <row r="47" spans="2:9" ht="15" customHeight="1">
      <c r="B47" s="406" t="s">
        <v>1970</v>
      </c>
      <c r="C47" s="416" t="s">
        <v>1971</v>
      </c>
      <c r="D47" s="408"/>
      <c r="E47" s="408"/>
      <c r="F47" s="410"/>
      <c r="G47" s="410">
        <v>1</v>
      </c>
      <c r="H47" s="282">
        <f t="shared" si="3"/>
        <v>0</v>
      </c>
      <c r="I47" s="282">
        <f t="shared" si="0"/>
        <v>1</v>
      </c>
    </row>
    <row r="48" spans="2:9" ht="15" customHeight="1">
      <c r="B48" s="406" t="s">
        <v>1972</v>
      </c>
      <c r="C48" s="416" t="s">
        <v>1973</v>
      </c>
      <c r="D48" s="409"/>
      <c r="E48" s="409"/>
      <c r="F48" s="410">
        <v>3</v>
      </c>
      <c r="G48" s="410">
        <v>10</v>
      </c>
      <c r="H48" s="282">
        <f t="shared" si="3"/>
        <v>3</v>
      </c>
      <c r="I48" s="282">
        <f t="shared" si="0"/>
        <v>10</v>
      </c>
    </row>
    <row r="49" spans="2:9" ht="15" customHeight="1">
      <c r="B49" s="406" t="s">
        <v>1974</v>
      </c>
      <c r="C49" s="416" t="s">
        <v>1975</v>
      </c>
      <c r="D49" s="408"/>
      <c r="E49" s="408"/>
      <c r="F49" s="410"/>
      <c r="G49" s="410">
        <v>1</v>
      </c>
      <c r="H49" s="282">
        <f t="shared" si="3"/>
        <v>0</v>
      </c>
      <c r="I49" s="282">
        <f t="shared" si="0"/>
        <v>1</v>
      </c>
    </row>
    <row r="50" spans="2:9" ht="15" customHeight="1">
      <c r="B50" s="406" t="s">
        <v>1976</v>
      </c>
      <c r="C50" s="416" t="s">
        <v>1977</v>
      </c>
      <c r="D50" s="408"/>
      <c r="E50" s="409"/>
      <c r="F50" s="410"/>
      <c r="G50" s="410">
        <v>1</v>
      </c>
      <c r="H50" s="1123">
        <v>0</v>
      </c>
      <c r="I50" s="282">
        <f t="shared" si="0"/>
        <v>1</v>
      </c>
    </row>
    <row r="51" spans="2:9" ht="15" customHeight="1">
      <c r="B51" s="406" t="s">
        <v>1978</v>
      </c>
      <c r="C51" s="416" t="s">
        <v>1979</v>
      </c>
      <c r="D51" s="408"/>
      <c r="E51" s="408"/>
      <c r="F51" s="410">
        <v>2</v>
      </c>
      <c r="G51" s="410">
        <v>1</v>
      </c>
      <c r="H51" s="282">
        <f>D51+F51</f>
        <v>2</v>
      </c>
      <c r="I51" s="282">
        <f t="shared" si="0"/>
        <v>1</v>
      </c>
    </row>
    <row r="52" spans="2:9" ht="15" customHeight="1">
      <c r="B52" s="406" t="s">
        <v>1980</v>
      </c>
      <c r="C52" s="416" t="s">
        <v>1981</v>
      </c>
      <c r="D52" s="408"/>
      <c r="E52" s="409"/>
      <c r="F52" s="410"/>
      <c r="G52" s="410">
        <v>1</v>
      </c>
      <c r="H52" s="1123">
        <v>2</v>
      </c>
      <c r="I52" s="282">
        <f t="shared" si="0"/>
        <v>1</v>
      </c>
    </row>
    <row r="53" spans="2:9" ht="15" customHeight="1">
      <c r="B53" s="406" t="s">
        <v>1982</v>
      </c>
      <c r="C53" s="416" t="s">
        <v>1983</v>
      </c>
      <c r="D53" s="409"/>
      <c r="E53" s="409"/>
      <c r="F53" s="410"/>
      <c r="G53" s="410">
        <v>1</v>
      </c>
      <c r="H53" s="282">
        <f t="shared" ref="H53:H66" si="4">D53+F53</f>
        <v>0</v>
      </c>
      <c r="I53" s="282">
        <f t="shared" si="0"/>
        <v>1</v>
      </c>
    </row>
    <row r="54" spans="2:9" ht="15" customHeight="1">
      <c r="B54" s="406" t="s">
        <v>1984</v>
      </c>
      <c r="C54" s="416" t="s">
        <v>1985</v>
      </c>
      <c r="D54" s="408"/>
      <c r="E54" s="408"/>
      <c r="F54" s="410"/>
      <c r="G54" s="410"/>
      <c r="H54" s="282">
        <f t="shared" si="4"/>
        <v>0</v>
      </c>
      <c r="I54" s="282">
        <f t="shared" si="0"/>
        <v>0</v>
      </c>
    </row>
    <row r="55" spans="2:9" ht="15" customHeight="1">
      <c r="B55" s="406" t="s">
        <v>1986</v>
      </c>
      <c r="C55" s="416" t="s">
        <v>1987</v>
      </c>
      <c r="D55" s="409"/>
      <c r="E55" s="409"/>
      <c r="F55" s="410"/>
      <c r="G55" s="410"/>
      <c r="H55" s="282">
        <f t="shared" si="4"/>
        <v>0</v>
      </c>
      <c r="I55" s="282">
        <f t="shared" si="0"/>
        <v>0</v>
      </c>
    </row>
    <row r="56" spans="2:9" ht="15" customHeight="1">
      <c r="B56" s="406" t="s">
        <v>1988</v>
      </c>
      <c r="C56" s="416" t="s">
        <v>1989</v>
      </c>
      <c r="D56" s="283"/>
      <c r="E56" s="283"/>
      <c r="F56" s="1124"/>
      <c r="G56" s="1124">
        <v>1</v>
      </c>
      <c r="H56" s="282">
        <f t="shared" si="4"/>
        <v>0</v>
      </c>
      <c r="I56" s="282">
        <f t="shared" si="0"/>
        <v>1</v>
      </c>
    </row>
    <row r="57" spans="2:9" ht="15" customHeight="1">
      <c r="B57" s="406" t="s">
        <v>1990</v>
      </c>
      <c r="C57" s="416" t="s">
        <v>1991</v>
      </c>
      <c r="D57" s="409"/>
      <c r="E57" s="409"/>
      <c r="F57" s="410"/>
      <c r="G57" s="410">
        <v>1</v>
      </c>
      <c r="H57" s="282">
        <f t="shared" si="4"/>
        <v>0</v>
      </c>
      <c r="I57" s="282">
        <f t="shared" si="0"/>
        <v>1</v>
      </c>
    </row>
    <row r="58" spans="2:9" ht="15" customHeight="1">
      <c r="B58" s="406" t="s">
        <v>1992</v>
      </c>
      <c r="C58" s="416" t="s">
        <v>1993</v>
      </c>
      <c r="D58" s="1124"/>
      <c r="E58" s="1124"/>
      <c r="F58" s="410"/>
      <c r="G58" s="1124">
        <v>1</v>
      </c>
      <c r="H58" s="282">
        <f t="shared" si="4"/>
        <v>0</v>
      </c>
      <c r="I58" s="282">
        <f t="shared" si="0"/>
        <v>1</v>
      </c>
    </row>
    <row r="59" spans="2:9" ht="15" customHeight="1">
      <c r="B59" s="406" t="s">
        <v>1994</v>
      </c>
      <c r="C59" s="416" t="s">
        <v>1995</v>
      </c>
      <c r="D59" s="409"/>
      <c r="E59" s="409"/>
      <c r="F59" s="410"/>
      <c r="G59" s="410">
        <v>1</v>
      </c>
      <c r="H59" s="282">
        <f t="shared" si="4"/>
        <v>0</v>
      </c>
      <c r="I59" s="282">
        <f t="shared" si="0"/>
        <v>1</v>
      </c>
    </row>
    <row r="60" spans="2:9" ht="15" customHeight="1">
      <c r="B60" s="406" t="s">
        <v>1996</v>
      </c>
      <c r="C60" s="416" t="s">
        <v>1997</v>
      </c>
      <c r="D60" s="408"/>
      <c r="E60" s="408"/>
      <c r="F60" s="410"/>
      <c r="G60" s="410">
        <v>1</v>
      </c>
      <c r="H60" s="282">
        <f t="shared" si="4"/>
        <v>0</v>
      </c>
      <c r="I60" s="282">
        <f t="shared" si="0"/>
        <v>1</v>
      </c>
    </row>
    <row r="61" spans="2:9" ht="15" customHeight="1">
      <c r="B61" s="406" t="s">
        <v>1998</v>
      </c>
      <c r="C61" s="416" t="s">
        <v>1999</v>
      </c>
      <c r="D61" s="409"/>
      <c r="E61" s="409"/>
      <c r="F61" s="410"/>
      <c r="G61" s="410">
        <v>1</v>
      </c>
      <c r="H61" s="282">
        <f t="shared" si="4"/>
        <v>0</v>
      </c>
      <c r="I61" s="282">
        <f t="shared" si="0"/>
        <v>1</v>
      </c>
    </row>
    <row r="62" spans="2:9" ht="15" customHeight="1">
      <c r="B62" s="406" t="s">
        <v>2000</v>
      </c>
      <c r="C62" s="416" t="s">
        <v>2001</v>
      </c>
      <c r="D62" s="409"/>
      <c r="E62" s="409"/>
      <c r="F62" s="410"/>
      <c r="G62" s="410">
        <v>1</v>
      </c>
      <c r="H62" s="282">
        <f t="shared" si="4"/>
        <v>0</v>
      </c>
      <c r="I62" s="282">
        <f t="shared" si="0"/>
        <v>1</v>
      </c>
    </row>
    <row r="63" spans="2:9" ht="15" customHeight="1">
      <c r="B63" s="406" t="s">
        <v>2002</v>
      </c>
      <c r="C63" s="416" t="s">
        <v>2003</v>
      </c>
      <c r="D63" s="408"/>
      <c r="E63" s="408"/>
      <c r="F63" s="410">
        <v>4</v>
      </c>
      <c r="G63" s="410">
        <v>1</v>
      </c>
      <c r="H63" s="282">
        <f t="shared" si="4"/>
        <v>4</v>
      </c>
      <c r="I63" s="282">
        <f t="shared" si="0"/>
        <v>1</v>
      </c>
    </row>
    <row r="64" spans="2:9" ht="15" customHeight="1">
      <c r="B64" s="406" t="s">
        <v>2004</v>
      </c>
      <c r="C64" s="416" t="s">
        <v>2005</v>
      </c>
      <c r="D64" s="409"/>
      <c r="E64" s="409"/>
      <c r="F64" s="410">
        <v>1</v>
      </c>
      <c r="G64" s="410">
        <v>1</v>
      </c>
      <c r="H64" s="282">
        <f t="shared" si="4"/>
        <v>1</v>
      </c>
      <c r="I64" s="282">
        <f t="shared" si="0"/>
        <v>1</v>
      </c>
    </row>
    <row r="65" spans="2:9" ht="15" customHeight="1">
      <c r="B65" s="406" t="s">
        <v>2006</v>
      </c>
      <c r="C65" s="416" t="s">
        <v>2007</v>
      </c>
      <c r="D65" s="409"/>
      <c r="E65" s="409"/>
      <c r="F65" s="410"/>
      <c r="G65" s="410">
        <v>1</v>
      </c>
      <c r="H65" s="282">
        <f t="shared" si="4"/>
        <v>0</v>
      </c>
      <c r="I65" s="282">
        <f t="shared" si="0"/>
        <v>1</v>
      </c>
    </row>
    <row r="66" spans="2:9" ht="15" customHeight="1">
      <c r="B66" s="406" t="s">
        <v>2008</v>
      </c>
      <c r="C66" s="416" t="s">
        <v>2009</v>
      </c>
      <c r="D66" s="408"/>
      <c r="E66" s="408"/>
      <c r="F66" s="410"/>
      <c r="G66" s="410">
        <v>1</v>
      </c>
      <c r="H66" s="282">
        <f t="shared" si="4"/>
        <v>0</v>
      </c>
      <c r="I66" s="282">
        <f t="shared" si="0"/>
        <v>1</v>
      </c>
    </row>
    <row r="67" spans="2:9" ht="15" customHeight="1">
      <c r="B67" s="406" t="s">
        <v>2010</v>
      </c>
      <c r="C67" s="416" t="s">
        <v>2011</v>
      </c>
      <c r="D67" s="408"/>
      <c r="E67" s="409"/>
      <c r="F67" s="410"/>
      <c r="G67" s="410"/>
      <c r="H67" s="1123">
        <v>0</v>
      </c>
      <c r="I67" s="282">
        <f t="shared" si="0"/>
        <v>0</v>
      </c>
    </row>
    <row r="68" spans="2:9" ht="15" customHeight="1">
      <c r="B68" s="406" t="s">
        <v>2012</v>
      </c>
      <c r="C68" s="416" t="s">
        <v>2013</v>
      </c>
      <c r="D68" s="409"/>
      <c r="E68" s="409"/>
      <c r="F68" s="410"/>
      <c r="G68" s="410">
        <v>1</v>
      </c>
      <c r="H68" s="282">
        <f>D68+F68</f>
        <v>0</v>
      </c>
      <c r="I68" s="282">
        <f t="shared" si="0"/>
        <v>1</v>
      </c>
    </row>
    <row r="69" spans="2:9" ht="15" customHeight="1">
      <c r="B69" s="406" t="s">
        <v>2014</v>
      </c>
      <c r="C69" s="416" t="s">
        <v>2015</v>
      </c>
      <c r="D69" s="409"/>
      <c r="E69" s="409"/>
      <c r="F69" s="410"/>
      <c r="G69" s="410">
        <v>1</v>
      </c>
      <c r="H69" s="282">
        <f>D69+F69</f>
        <v>0</v>
      </c>
      <c r="I69" s="282">
        <f t="shared" si="0"/>
        <v>1</v>
      </c>
    </row>
    <row r="70" spans="2:9" ht="15" customHeight="1">
      <c r="B70" s="406" t="s">
        <v>2016</v>
      </c>
      <c r="C70" s="416" t="s">
        <v>2017</v>
      </c>
      <c r="D70" s="409"/>
      <c r="E70" s="409"/>
      <c r="F70" s="410"/>
      <c r="G70" s="410">
        <v>1</v>
      </c>
      <c r="H70" s="282">
        <f>D70+F70</f>
        <v>0</v>
      </c>
      <c r="I70" s="282">
        <f t="shared" si="0"/>
        <v>1</v>
      </c>
    </row>
    <row r="71" spans="2:9" ht="15" customHeight="1">
      <c r="B71" s="406" t="s">
        <v>2018</v>
      </c>
      <c r="C71" s="416" t="s">
        <v>2019</v>
      </c>
      <c r="D71" s="409"/>
      <c r="E71" s="409"/>
      <c r="F71" s="410"/>
      <c r="G71" s="410">
        <v>1</v>
      </c>
      <c r="H71" s="282">
        <f>D71+F71</f>
        <v>0</v>
      </c>
      <c r="I71" s="282">
        <f t="shared" si="0"/>
        <v>1</v>
      </c>
    </row>
    <row r="72" spans="2:9" ht="15" customHeight="1">
      <c r="B72" s="1325" t="s">
        <v>4085</v>
      </c>
      <c r="C72" s="1326" t="s">
        <v>4091</v>
      </c>
      <c r="D72" s="1327"/>
      <c r="E72" s="1327"/>
      <c r="F72" s="1328"/>
      <c r="G72" s="1328">
        <v>2</v>
      </c>
      <c r="H72" s="1329"/>
      <c r="I72" s="1329">
        <v>2</v>
      </c>
    </row>
    <row r="73" spans="2:9" ht="15" customHeight="1">
      <c r="B73" s="1325" t="s">
        <v>4086</v>
      </c>
      <c r="C73" s="1326" t="s">
        <v>4092</v>
      </c>
      <c r="D73" s="1327"/>
      <c r="E73" s="1327"/>
      <c r="F73" s="1328"/>
      <c r="G73" s="1328">
        <v>2</v>
      </c>
      <c r="H73" s="1329"/>
      <c r="I73" s="1329">
        <v>2</v>
      </c>
    </row>
    <row r="74" spans="2:9" ht="15" customHeight="1">
      <c r="B74" s="1325" t="s">
        <v>4087</v>
      </c>
      <c r="C74" s="1326" t="s">
        <v>4093</v>
      </c>
      <c r="D74" s="1327"/>
      <c r="E74" s="1327"/>
      <c r="F74" s="1328"/>
      <c r="G74" s="1328">
        <v>2</v>
      </c>
      <c r="H74" s="1329"/>
      <c r="I74" s="1329">
        <v>2</v>
      </c>
    </row>
    <row r="75" spans="2:9" ht="15" customHeight="1">
      <c r="B75" s="1325" t="s">
        <v>4088</v>
      </c>
      <c r="C75" s="1326" t="s">
        <v>4094</v>
      </c>
      <c r="D75" s="1327"/>
      <c r="E75" s="1327"/>
      <c r="F75" s="1328"/>
      <c r="G75" s="1328">
        <v>2</v>
      </c>
      <c r="H75" s="1329"/>
      <c r="I75" s="1329">
        <v>2</v>
      </c>
    </row>
    <row r="76" spans="2:9" ht="15" customHeight="1">
      <c r="B76" s="1325" t="s">
        <v>4089</v>
      </c>
      <c r="C76" s="1326" t="s">
        <v>4094</v>
      </c>
      <c r="D76" s="1327"/>
      <c r="E76" s="1327"/>
      <c r="F76" s="1328"/>
      <c r="G76" s="1328">
        <v>2</v>
      </c>
      <c r="H76" s="1329"/>
      <c r="I76" s="1329">
        <v>2</v>
      </c>
    </row>
    <row r="77" spans="2:9" ht="15" customHeight="1">
      <c r="B77" s="1325" t="s">
        <v>4090</v>
      </c>
      <c r="C77" s="1326" t="s">
        <v>4095</v>
      </c>
      <c r="D77" s="1327"/>
      <c r="E77" s="1327"/>
      <c r="F77" s="1328"/>
      <c r="G77" s="1328">
        <v>2</v>
      </c>
      <c r="H77" s="1329">
        <f>D77+F77</f>
        <v>0</v>
      </c>
      <c r="I77" s="1329">
        <f>E77+G77</f>
        <v>2</v>
      </c>
    </row>
    <row r="78" spans="2:9" ht="15" customHeight="1">
      <c r="B78" s="421" t="s">
        <v>2</v>
      </c>
      <c r="C78" s="422"/>
      <c r="D78" s="423">
        <f>SUM(D11:D71)</f>
        <v>0</v>
      </c>
      <c r="E78" s="423">
        <f>SUM(E11:E71)</f>
        <v>0</v>
      </c>
      <c r="F78" s="423">
        <f>SUM(F11:F71)</f>
        <v>61</v>
      </c>
      <c r="G78" s="423">
        <f>SUM(G11:G71)</f>
        <v>76</v>
      </c>
      <c r="H78" s="424">
        <f>D78+F78</f>
        <v>61</v>
      </c>
      <c r="I78" s="1682">
        <f>SUM(I11:I77)</f>
        <v>91</v>
      </c>
    </row>
    <row r="79" spans="2:9" ht="15" customHeight="1">
      <c r="B79" s="426"/>
      <c r="C79" s="427" t="s">
        <v>2020</v>
      </c>
      <c r="D79" s="428"/>
      <c r="F79" s="428"/>
      <c r="H79" s="428"/>
      <c r="I79" s="428"/>
    </row>
    <row r="80" spans="2:9" ht="15" customHeight="1">
      <c r="B80" s="411" t="s">
        <v>2021</v>
      </c>
      <c r="C80" s="429" t="s">
        <v>2022</v>
      </c>
      <c r="D80" s="409"/>
      <c r="E80" s="409"/>
      <c r="F80" s="410">
        <v>4</v>
      </c>
      <c r="G80" s="410">
        <v>1</v>
      </c>
      <c r="H80" s="282">
        <v>0</v>
      </c>
      <c r="I80" s="282">
        <f t="shared" ref="I80:I96" si="5">E80+G80</f>
        <v>1</v>
      </c>
    </row>
    <row r="81" spans="2:9" ht="15" customHeight="1">
      <c r="B81" s="406" t="s">
        <v>2023</v>
      </c>
      <c r="C81" s="1088" t="s">
        <v>2024</v>
      </c>
      <c r="D81" s="409"/>
      <c r="E81" s="409">
        <v>1</v>
      </c>
      <c r="F81" s="410"/>
      <c r="G81" s="410">
        <v>1</v>
      </c>
      <c r="H81" s="1123">
        <v>0</v>
      </c>
      <c r="I81" s="282">
        <f t="shared" si="5"/>
        <v>2</v>
      </c>
    </row>
    <row r="82" spans="2:9" ht="15" customHeight="1">
      <c r="B82" s="406" t="s">
        <v>2025</v>
      </c>
      <c r="C82" s="1088" t="s">
        <v>2026</v>
      </c>
      <c r="D82" s="409">
        <v>3</v>
      </c>
      <c r="E82" s="409">
        <v>1</v>
      </c>
      <c r="F82" s="410"/>
      <c r="G82" s="410">
        <v>1</v>
      </c>
      <c r="H82" s="1123">
        <v>8</v>
      </c>
      <c r="I82" s="282">
        <f t="shared" si="5"/>
        <v>2</v>
      </c>
    </row>
    <row r="83" spans="2:9" ht="15" customHeight="1">
      <c r="B83" s="411" t="s">
        <v>2027</v>
      </c>
      <c r="C83" s="430" t="s">
        <v>2028</v>
      </c>
      <c r="D83" s="409"/>
      <c r="E83" s="409">
        <v>1</v>
      </c>
      <c r="F83" s="410"/>
      <c r="G83" s="410">
        <v>1</v>
      </c>
      <c r="H83" s="282">
        <v>0</v>
      </c>
      <c r="I83" s="282">
        <f t="shared" si="5"/>
        <v>2</v>
      </c>
    </row>
    <row r="84" spans="2:9" ht="15" customHeight="1">
      <c r="B84" s="411" t="s">
        <v>2029</v>
      </c>
      <c r="C84" s="430" t="s">
        <v>2030</v>
      </c>
      <c r="D84" s="409"/>
      <c r="E84" s="409"/>
      <c r="F84" s="410"/>
      <c r="G84" s="410"/>
      <c r="H84" s="282">
        <v>0</v>
      </c>
      <c r="I84" s="282">
        <f t="shared" si="5"/>
        <v>0</v>
      </c>
    </row>
    <row r="85" spans="2:9" ht="15" customHeight="1">
      <c r="B85" s="411" t="s">
        <v>2031</v>
      </c>
      <c r="C85" s="429" t="s">
        <v>2032</v>
      </c>
      <c r="D85" s="409"/>
      <c r="E85" s="409"/>
      <c r="F85" s="410"/>
      <c r="G85" s="410"/>
      <c r="H85" s="282">
        <v>0</v>
      </c>
      <c r="I85" s="282">
        <f t="shared" si="5"/>
        <v>0</v>
      </c>
    </row>
    <row r="86" spans="2:9" ht="15" customHeight="1">
      <c r="B86" s="406" t="s">
        <v>2033</v>
      </c>
      <c r="C86" s="1088" t="s">
        <v>2034</v>
      </c>
      <c r="D86" s="409">
        <v>59</v>
      </c>
      <c r="E86" s="409">
        <v>10</v>
      </c>
      <c r="F86" s="410">
        <v>1</v>
      </c>
      <c r="G86" s="410">
        <v>10</v>
      </c>
      <c r="H86" s="282">
        <f>D86+F86</f>
        <v>60</v>
      </c>
      <c r="I86" s="282">
        <f t="shared" si="5"/>
        <v>20</v>
      </c>
    </row>
    <row r="87" spans="2:9" ht="15" customHeight="1">
      <c r="B87" s="406" t="s">
        <v>2035</v>
      </c>
      <c r="C87" s="1088" t="s">
        <v>2036</v>
      </c>
      <c r="D87" s="409">
        <v>4</v>
      </c>
      <c r="E87" s="409">
        <v>3</v>
      </c>
      <c r="F87" s="410"/>
      <c r="G87" s="410">
        <v>1</v>
      </c>
      <c r="H87" s="1123">
        <f>D87+F87</f>
        <v>4</v>
      </c>
      <c r="I87" s="282">
        <f t="shared" si="5"/>
        <v>4</v>
      </c>
    </row>
    <row r="88" spans="2:9" ht="15" customHeight="1">
      <c r="B88" s="406" t="s">
        <v>1974</v>
      </c>
      <c r="C88" s="1088" t="s">
        <v>2037</v>
      </c>
      <c r="D88" s="409"/>
      <c r="E88" s="409"/>
      <c r="F88" s="410"/>
      <c r="G88" s="410">
        <v>1</v>
      </c>
      <c r="H88" s="282">
        <f>D88+F88</f>
        <v>0</v>
      </c>
      <c r="I88" s="282">
        <f t="shared" si="5"/>
        <v>1</v>
      </c>
    </row>
    <row r="89" spans="2:9" ht="15" customHeight="1">
      <c r="B89" s="406" t="s">
        <v>2038</v>
      </c>
      <c r="C89" s="1088" t="s">
        <v>2039</v>
      </c>
      <c r="D89" s="409"/>
      <c r="E89" s="409"/>
      <c r="F89" s="410"/>
      <c r="G89" s="410">
        <v>3</v>
      </c>
      <c r="H89" s="282">
        <f>D89+F89</f>
        <v>0</v>
      </c>
      <c r="I89" s="282">
        <f t="shared" si="5"/>
        <v>3</v>
      </c>
    </row>
    <row r="90" spans="2:9" ht="15" customHeight="1">
      <c r="B90" s="406" t="s">
        <v>2040</v>
      </c>
      <c r="C90" s="431" t="s">
        <v>2041</v>
      </c>
      <c r="D90" s="409"/>
      <c r="E90" s="409"/>
      <c r="F90" s="410"/>
      <c r="G90" s="410">
        <v>1</v>
      </c>
      <c r="H90" s="1123">
        <v>0</v>
      </c>
      <c r="I90" s="282">
        <f t="shared" si="5"/>
        <v>1</v>
      </c>
    </row>
    <row r="91" spans="2:9" ht="15" customHeight="1">
      <c r="B91" s="406" t="s">
        <v>2042</v>
      </c>
      <c r="C91" s="432" t="s">
        <v>2043</v>
      </c>
      <c r="D91" s="409"/>
      <c r="E91" s="409">
        <v>3</v>
      </c>
      <c r="F91" s="433"/>
      <c r="G91" s="433">
        <v>3</v>
      </c>
      <c r="H91" s="282">
        <f t="shared" ref="H91:H96" si="6">D91+F91</f>
        <v>0</v>
      </c>
      <c r="I91" s="282">
        <f t="shared" si="5"/>
        <v>6</v>
      </c>
    </row>
    <row r="92" spans="2:9" ht="15" customHeight="1">
      <c r="B92" s="406" t="s">
        <v>2044</v>
      </c>
      <c r="C92" s="432" t="s">
        <v>2045</v>
      </c>
      <c r="D92" s="409"/>
      <c r="E92" s="409">
        <v>3</v>
      </c>
      <c r="F92" s="433"/>
      <c r="G92" s="433">
        <v>3</v>
      </c>
      <c r="H92" s="282">
        <f t="shared" si="6"/>
        <v>0</v>
      </c>
      <c r="I92" s="282">
        <f t="shared" si="5"/>
        <v>6</v>
      </c>
    </row>
    <row r="93" spans="2:9" ht="15" customHeight="1">
      <c r="B93" s="406" t="s">
        <v>2046</v>
      </c>
      <c r="C93" s="432" t="s">
        <v>2047</v>
      </c>
      <c r="D93" s="434"/>
      <c r="E93" s="434">
        <v>3</v>
      </c>
      <c r="F93" s="433"/>
      <c r="G93" s="433">
        <v>3</v>
      </c>
      <c r="H93" s="282">
        <f t="shared" si="6"/>
        <v>0</v>
      </c>
      <c r="I93" s="282">
        <f t="shared" si="5"/>
        <v>6</v>
      </c>
    </row>
    <row r="94" spans="2:9" ht="15" customHeight="1">
      <c r="B94" s="406" t="s">
        <v>2048</v>
      </c>
      <c r="C94" s="432" t="s">
        <v>2049</v>
      </c>
      <c r="D94" s="409"/>
      <c r="E94" s="409"/>
      <c r="F94" s="410">
        <v>12</v>
      </c>
      <c r="G94" s="410">
        <v>10</v>
      </c>
      <c r="H94" s="282">
        <f t="shared" si="6"/>
        <v>12</v>
      </c>
      <c r="I94" s="282">
        <f t="shared" si="5"/>
        <v>10</v>
      </c>
    </row>
    <row r="95" spans="2:9" ht="15" customHeight="1">
      <c r="B95" s="406" t="s">
        <v>2050</v>
      </c>
      <c r="C95" s="432" t="s">
        <v>2051</v>
      </c>
      <c r="D95" s="409"/>
      <c r="E95" s="409"/>
      <c r="F95" s="410">
        <v>84</v>
      </c>
      <c r="G95" s="410">
        <v>80</v>
      </c>
      <c r="H95" s="282">
        <f t="shared" si="6"/>
        <v>84</v>
      </c>
      <c r="I95" s="282">
        <f t="shared" si="5"/>
        <v>80</v>
      </c>
    </row>
    <row r="96" spans="2:9" ht="15" customHeight="1">
      <c r="B96" s="1330" t="s">
        <v>2</v>
      </c>
      <c r="C96" s="1331"/>
      <c r="D96" s="1332">
        <f>SUM(D80:D95)</f>
        <v>66</v>
      </c>
      <c r="E96" s="1332">
        <f>SUM(E80:E95)</f>
        <v>25</v>
      </c>
      <c r="F96" s="1332">
        <f>SUM(F80:F95)</f>
        <v>101</v>
      </c>
      <c r="G96" s="1332">
        <f>SUM(G80:G95)</f>
        <v>119</v>
      </c>
      <c r="H96" s="436">
        <f t="shared" si="6"/>
        <v>167</v>
      </c>
      <c r="I96" s="437">
        <f t="shared" si="5"/>
        <v>144</v>
      </c>
    </row>
    <row r="97" spans="2:9" ht="15" customHeight="1">
      <c r="B97" s="438"/>
      <c r="C97" s="439" t="s">
        <v>2052</v>
      </c>
      <c r="D97" s="440"/>
      <c r="E97" s="440"/>
      <c r="F97" s="440"/>
      <c r="G97" s="440"/>
      <c r="H97" s="440"/>
      <c r="I97" s="440"/>
    </row>
    <row r="98" spans="2:9" ht="15" customHeight="1">
      <c r="B98" s="441">
        <v>260007</v>
      </c>
      <c r="C98" s="442" t="s">
        <v>2053</v>
      </c>
      <c r="D98" s="409"/>
      <c r="E98" s="409"/>
      <c r="F98" s="410"/>
      <c r="G98" s="410"/>
      <c r="H98" s="282">
        <f t="shared" ref="H98:I128" si="7">D98+F98</f>
        <v>0</v>
      </c>
      <c r="I98" s="282">
        <f t="shared" si="7"/>
        <v>0</v>
      </c>
    </row>
    <row r="99" spans="2:9" ht="15" customHeight="1">
      <c r="B99" s="1089" t="s">
        <v>2054</v>
      </c>
      <c r="C99" s="443" t="s">
        <v>2055</v>
      </c>
      <c r="D99" s="1090">
        <v>511</v>
      </c>
      <c r="E99" s="1090">
        <v>520</v>
      </c>
      <c r="F99" s="1124">
        <v>332</v>
      </c>
      <c r="G99" s="1124">
        <v>800</v>
      </c>
      <c r="H99" s="282">
        <f t="shared" si="7"/>
        <v>843</v>
      </c>
      <c r="I99" s="282">
        <f t="shared" si="7"/>
        <v>1320</v>
      </c>
    </row>
    <row r="100" spans="2:9" ht="15" customHeight="1">
      <c r="B100" s="406" t="s">
        <v>2056</v>
      </c>
      <c r="C100" s="1088" t="s">
        <v>2057</v>
      </c>
      <c r="D100" s="1090">
        <v>494</v>
      </c>
      <c r="E100" s="1090">
        <v>500</v>
      </c>
      <c r="F100" s="1124">
        <v>81</v>
      </c>
      <c r="G100" s="1124">
        <v>80</v>
      </c>
      <c r="H100" s="282">
        <f t="shared" si="7"/>
        <v>575</v>
      </c>
      <c r="I100" s="282">
        <f t="shared" si="7"/>
        <v>580</v>
      </c>
    </row>
    <row r="101" spans="2:9" ht="15" customHeight="1">
      <c r="B101" s="1089" t="s">
        <v>2058</v>
      </c>
      <c r="C101" s="1088" t="s">
        <v>2059</v>
      </c>
      <c r="D101" s="1090">
        <v>40</v>
      </c>
      <c r="E101" s="1090">
        <v>40</v>
      </c>
      <c r="F101" s="1124"/>
      <c r="G101" s="1124">
        <v>20</v>
      </c>
      <c r="H101" s="282">
        <f t="shared" si="7"/>
        <v>40</v>
      </c>
      <c r="I101" s="282">
        <f t="shared" si="7"/>
        <v>60</v>
      </c>
    </row>
    <row r="102" spans="2:9" ht="15" customHeight="1">
      <c r="B102" s="406" t="s">
        <v>2060</v>
      </c>
      <c r="C102" s="1088" t="s">
        <v>2061</v>
      </c>
      <c r="D102" s="1090">
        <v>220</v>
      </c>
      <c r="E102" s="1090">
        <v>200</v>
      </c>
      <c r="F102" s="1124">
        <v>50</v>
      </c>
      <c r="G102" s="1124">
        <v>20</v>
      </c>
      <c r="H102" s="282">
        <f t="shared" si="7"/>
        <v>270</v>
      </c>
      <c r="I102" s="282">
        <f t="shared" si="7"/>
        <v>220</v>
      </c>
    </row>
    <row r="103" spans="2:9" ht="15" customHeight="1">
      <c r="B103" s="406" t="s">
        <v>2062</v>
      </c>
      <c r="C103" s="1088" t="s">
        <v>2063</v>
      </c>
      <c r="D103" s="1090"/>
      <c r="E103" s="1090"/>
      <c r="F103" s="1124"/>
      <c r="G103" s="1124">
        <v>1</v>
      </c>
      <c r="H103" s="282">
        <f t="shared" si="7"/>
        <v>0</v>
      </c>
      <c r="I103" s="282">
        <f t="shared" si="7"/>
        <v>1</v>
      </c>
    </row>
    <row r="104" spans="2:9" ht="15" customHeight="1">
      <c r="B104" s="1089" t="s">
        <v>2014</v>
      </c>
      <c r="C104" s="1088" t="s">
        <v>2064</v>
      </c>
      <c r="D104" s="1090"/>
      <c r="E104" s="1090">
        <v>1</v>
      </c>
      <c r="F104" s="1124"/>
      <c r="G104" s="1124">
        <v>1</v>
      </c>
      <c r="H104" s="282">
        <f t="shared" si="7"/>
        <v>0</v>
      </c>
      <c r="I104" s="282">
        <f t="shared" si="7"/>
        <v>2</v>
      </c>
    </row>
    <row r="105" spans="2:9" ht="15" customHeight="1">
      <c r="B105" s="406" t="s">
        <v>2065</v>
      </c>
      <c r="C105" s="1088" t="s">
        <v>2066</v>
      </c>
      <c r="D105" s="1090"/>
      <c r="E105" s="1090"/>
      <c r="F105" s="1124"/>
      <c r="G105" s="1124">
        <v>1</v>
      </c>
      <c r="H105" s="282">
        <f t="shared" si="7"/>
        <v>0</v>
      </c>
      <c r="I105" s="282">
        <f t="shared" si="7"/>
        <v>1</v>
      </c>
    </row>
    <row r="106" spans="2:9" ht="15" customHeight="1">
      <c r="B106" s="406" t="s">
        <v>2067</v>
      </c>
      <c r="C106" s="1088" t="s">
        <v>2068</v>
      </c>
      <c r="D106" s="1090"/>
      <c r="E106" s="1090"/>
      <c r="F106" s="1124"/>
      <c r="G106" s="1124">
        <v>1</v>
      </c>
      <c r="H106" s="282">
        <f t="shared" si="7"/>
        <v>0</v>
      </c>
      <c r="I106" s="282">
        <f t="shared" si="7"/>
        <v>1</v>
      </c>
    </row>
    <row r="107" spans="2:9" ht="15" customHeight="1">
      <c r="B107" s="406" t="s">
        <v>2069</v>
      </c>
      <c r="C107" s="1088" t="s">
        <v>2070</v>
      </c>
      <c r="D107" s="1090"/>
      <c r="E107" s="1090"/>
      <c r="F107" s="1124">
        <v>13</v>
      </c>
      <c r="G107" s="1124">
        <v>13</v>
      </c>
      <c r="H107" s="282">
        <f t="shared" si="7"/>
        <v>13</v>
      </c>
      <c r="I107" s="282">
        <f t="shared" si="7"/>
        <v>13</v>
      </c>
    </row>
    <row r="108" spans="2:9" ht="15" customHeight="1">
      <c r="B108" s="406" t="s">
        <v>2071</v>
      </c>
      <c r="C108" s="1088" t="s">
        <v>2072</v>
      </c>
      <c r="D108" s="1090"/>
      <c r="E108" s="1090"/>
      <c r="F108" s="1124">
        <v>3</v>
      </c>
      <c r="G108" s="1124">
        <v>1</v>
      </c>
      <c r="H108" s="282">
        <f t="shared" si="7"/>
        <v>3</v>
      </c>
      <c r="I108" s="282">
        <f t="shared" si="7"/>
        <v>1</v>
      </c>
    </row>
    <row r="109" spans="2:9" ht="15" customHeight="1">
      <c r="B109" s="406" t="s">
        <v>2073</v>
      </c>
      <c r="C109" s="1088" t="s">
        <v>2074</v>
      </c>
      <c r="D109" s="1090"/>
      <c r="E109" s="1090"/>
      <c r="F109" s="1124"/>
      <c r="G109" s="1124"/>
      <c r="H109" s="282">
        <f t="shared" si="7"/>
        <v>0</v>
      </c>
      <c r="I109" s="282">
        <f t="shared" si="7"/>
        <v>0</v>
      </c>
    </row>
    <row r="110" spans="2:9" ht="15" customHeight="1">
      <c r="B110" s="1089" t="s">
        <v>2042</v>
      </c>
      <c r="C110" s="1088" t="s">
        <v>2075</v>
      </c>
      <c r="D110" s="1090"/>
      <c r="E110" s="1090">
        <v>1</v>
      </c>
      <c r="F110" s="1124"/>
      <c r="G110" s="1124">
        <v>1</v>
      </c>
      <c r="H110" s="282">
        <f t="shared" si="7"/>
        <v>0</v>
      </c>
      <c r="I110" s="282">
        <f t="shared" si="7"/>
        <v>2</v>
      </c>
    </row>
    <row r="111" spans="2:9" ht="15" customHeight="1">
      <c r="B111" s="1089" t="s">
        <v>2076</v>
      </c>
      <c r="C111" s="1088" t="s">
        <v>2077</v>
      </c>
      <c r="D111" s="1090"/>
      <c r="E111" s="1090">
        <v>1</v>
      </c>
      <c r="F111" s="1124"/>
      <c r="G111" s="1124">
        <v>1</v>
      </c>
      <c r="H111" s="282">
        <f t="shared" si="7"/>
        <v>0</v>
      </c>
      <c r="I111" s="282">
        <f t="shared" si="7"/>
        <v>2</v>
      </c>
    </row>
    <row r="112" spans="2:9" s="1101" customFormat="1" ht="15" customHeight="1">
      <c r="B112" s="1089" t="s">
        <v>2078</v>
      </c>
      <c r="C112" s="1088" t="s">
        <v>2079</v>
      </c>
      <c r="D112" s="1090">
        <v>68</v>
      </c>
      <c r="E112" s="1090">
        <v>60</v>
      </c>
      <c r="F112" s="1124">
        <v>32</v>
      </c>
      <c r="G112" s="1124">
        <v>30</v>
      </c>
      <c r="H112" s="1123">
        <f t="shared" si="7"/>
        <v>100</v>
      </c>
      <c r="I112" s="1123">
        <f t="shared" si="7"/>
        <v>90</v>
      </c>
    </row>
    <row r="113" spans="2:9" ht="15" customHeight="1">
      <c r="B113" s="1089" t="s">
        <v>2080</v>
      </c>
      <c r="C113" s="1088" t="s">
        <v>2081</v>
      </c>
      <c r="D113" s="1090"/>
      <c r="E113" s="1090"/>
      <c r="F113" s="1124"/>
      <c r="G113" s="1124"/>
      <c r="H113" s="282">
        <f t="shared" si="7"/>
        <v>0</v>
      </c>
      <c r="I113" s="282">
        <f t="shared" si="7"/>
        <v>0</v>
      </c>
    </row>
    <row r="114" spans="2:9" ht="15" customHeight="1">
      <c r="B114" s="1089" t="s">
        <v>2082</v>
      </c>
      <c r="C114" s="1088" t="s">
        <v>2083</v>
      </c>
      <c r="D114" s="1090"/>
      <c r="E114" s="1090"/>
      <c r="F114" s="1124"/>
      <c r="G114" s="1124"/>
      <c r="H114" s="282">
        <f t="shared" si="7"/>
        <v>0</v>
      </c>
      <c r="I114" s="282">
        <f t="shared" si="7"/>
        <v>0</v>
      </c>
    </row>
    <row r="115" spans="2:9" ht="15" customHeight="1">
      <c r="B115" s="406" t="s">
        <v>2084</v>
      </c>
      <c r="C115" s="1088" t="s">
        <v>2085</v>
      </c>
      <c r="D115" s="1090"/>
      <c r="E115" s="1090"/>
      <c r="F115" s="1124"/>
      <c r="G115" s="1124"/>
      <c r="H115" s="282">
        <f t="shared" si="7"/>
        <v>0</v>
      </c>
      <c r="I115" s="282">
        <f t="shared" si="7"/>
        <v>0</v>
      </c>
    </row>
    <row r="116" spans="2:9" ht="15" customHeight="1">
      <c r="B116" s="1089" t="s">
        <v>2086</v>
      </c>
      <c r="C116" s="1088" t="s">
        <v>2087</v>
      </c>
      <c r="D116" s="1090"/>
      <c r="E116" s="1090"/>
      <c r="F116" s="1124">
        <v>23</v>
      </c>
      <c r="G116" s="1124">
        <v>23</v>
      </c>
      <c r="H116" s="282">
        <f t="shared" si="7"/>
        <v>23</v>
      </c>
      <c r="I116" s="282">
        <f t="shared" si="7"/>
        <v>23</v>
      </c>
    </row>
    <row r="117" spans="2:9" ht="15" customHeight="1">
      <c r="B117" s="1089" t="s">
        <v>2088</v>
      </c>
      <c r="C117" s="1088" t="s">
        <v>2089</v>
      </c>
      <c r="D117" s="1090"/>
      <c r="E117" s="1090">
        <v>2</v>
      </c>
      <c r="F117" s="1124">
        <v>4</v>
      </c>
      <c r="G117" s="1124">
        <v>2</v>
      </c>
      <c r="H117" s="282">
        <f t="shared" si="7"/>
        <v>4</v>
      </c>
      <c r="I117" s="282">
        <f t="shared" si="7"/>
        <v>4</v>
      </c>
    </row>
    <row r="118" spans="2:9" ht="15" customHeight="1">
      <c r="B118" s="1089" t="s">
        <v>2090</v>
      </c>
      <c r="C118" s="1088" t="s">
        <v>2091</v>
      </c>
      <c r="D118" s="1090"/>
      <c r="E118" s="1090"/>
      <c r="F118" s="1124">
        <v>104</v>
      </c>
      <c r="G118" s="1124">
        <v>100</v>
      </c>
      <c r="H118" s="282">
        <f t="shared" si="7"/>
        <v>104</v>
      </c>
      <c r="I118" s="282">
        <f t="shared" si="7"/>
        <v>100</v>
      </c>
    </row>
    <row r="119" spans="2:9" ht="15" customHeight="1">
      <c r="B119" s="1089" t="s">
        <v>2092</v>
      </c>
      <c r="C119" s="431" t="s">
        <v>2093</v>
      </c>
      <c r="D119" s="1090"/>
      <c r="E119" s="1090"/>
      <c r="F119" s="1124">
        <v>6</v>
      </c>
      <c r="G119" s="1124">
        <v>6</v>
      </c>
      <c r="H119" s="282">
        <f t="shared" si="7"/>
        <v>6</v>
      </c>
      <c r="I119" s="282">
        <f t="shared" si="7"/>
        <v>6</v>
      </c>
    </row>
    <row r="120" spans="2:9" ht="15" customHeight="1">
      <c r="B120" s="406" t="s">
        <v>2094</v>
      </c>
      <c r="C120" s="406" t="s">
        <v>2095</v>
      </c>
      <c r="D120" s="1090"/>
      <c r="E120" s="1090"/>
      <c r="F120" s="1124">
        <v>175</v>
      </c>
      <c r="G120" s="1124">
        <v>150</v>
      </c>
      <c r="H120" s="282">
        <f t="shared" si="7"/>
        <v>175</v>
      </c>
      <c r="I120" s="282">
        <f t="shared" si="7"/>
        <v>150</v>
      </c>
    </row>
    <row r="121" spans="2:9" ht="15" customHeight="1">
      <c r="B121" s="1089" t="s">
        <v>2096</v>
      </c>
      <c r="C121" s="406" t="s">
        <v>2097</v>
      </c>
      <c r="D121" s="1090"/>
      <c r="E121" s="1090"/>
      <c r="F121" s="1124">
        <v>3225</v>
      </c>
      <c r="G121" s="1124">
        <v>3225</v>
      </c>
      <c r="H121" s="282">
        <f t="shared" si="7"/>
        <v>3225</v>
      </c>
      <c r="I121" s="282">
        <f t="shared" si="7"/>
        <v>3225</v>
      </c>
    </row>
    <row r="122" spans="2:9" ht="15" customHeight="1">
      <c r="B122" s="1089" t="s">
        <v>2098</v>
      </c>
      <c r="C122" s="406" t="s">
        <v>2099</v>
      </c>
      <c r="D122" s="1090"/>
      <c r="E122" s="1090"/>
      <c r="F122" s="1124">
        <v>47</v>
      </c>
      <c r="G122" s="1124">
        <v>45</v>
      </c>
      <c r="H122" s="282">
        <f t="shared" si="7"/>
        <v>47</v>
      </c>
      <c r="I122" s="282">
        <f t="shared" si="7"/>
        <v>45</v>
      </c>
    </row>
    <row r="123" spans="2:9" ht="15" customHeight="1">
      <c r="B123" s="406" t="s">
        <v>2100</v>
      </c>
      <c r="C123" s="406" t="s">
        <v>2101</v>
      </c>
      <c r="D123" s="1090"/>
      <c r="E123" s="1090"/>
      <c r="F123" s="1124">
        <v>196</v>
      </c>
      <c r="G123" s="1124">
        <v>190</v>
      </c>
      <c r="H123" s="282">
        <f t="shared" si="7"/>
        <v>196</v>
      </c>
      <c r="I123" s="282">
        <f t="shared" si="7"/>
        <v>190</v>
      </c>
    </row>
    <row r="124" spans="2:9" ht="15" customHeight="1">
      <c r="B124" s="1089" t="s">
        <v>2102</v>
      </c>
      <c r="C124" s="406" t="s">
        <v>2103</v>
      </c>
      <c r="D124" s="1090"/>
      <c r="E124" s="1090"/>
      <c r="F124" s="1124">
        <v>1665</v>
      </c>
      <c r="G124" s="1124">
        <v>1665</v>
      </c>
      <c r="H124" s="282">
        <f t="shared" si="7"/>
        <v>1665</v>
      </c>
      <c r="I124" s="282">
        <f t="shared" si="7"/>
        <v>1665</v>
      </c>
    </row>
    <row r="125" spans="2:9" ht="15" customHeight="1">
      <c r="B125" s="1089" t="s">
        <v>2104</v>
      </c>
      <c r="C125" s="406" t="s">
        <v>2105</v>
      </c>
      <c r="D125" s="1090"/>
      <c r="E125" s="1090"/>
      <c r="F125" s="1124">
        <v>2715</v>
      </c>
      <c r="G125" s="1124">
        <v>2715</v>
      </c>
      <c r="H125" s="282">
        <f t="shared" si="7"/>
        <v>2715</v>
      </c>
      <c r="I125" s="282">
        <f t="shared" si="7"/>
        <v>2715</v>
      </c>
    </row>
    <row r="126" spans="2:9" ht="15" customHeight="1">
      <c r="B126" s="1089" t="s">
        <v>2106</v>
      </c>
      <c r="C126" s="406" t="s">
        <v>2107</v>
      </c>
      <c r="D126" s="1090"/>
      <c r="E126" s="1090"/>
      <c r="F126" s="1124">
        <v>153</v>
      </c>
      <c r="G126" s="1124">
        <v>153</v>
      </c>
      <c r="H126" s="282">
        <f t="shared" si="7"/>
        <v>153</v>
      </c>
      <c r="I126" s="282">
        <f t="shared" si="7"/>
        <v>153</v>
      </c>
    </row>
    <row r="127" spans="2:9" ht="15" customHeight="1">
      <c r="B127" s="406" t="s">
        <v>2108</v>
      </c>
      <c r="C127" s="406" t="s">
        <v>2109</v>
      </c>
      <c r="D127" s="1090"/>
      <c r="E127" s="1090"/>
      <c r="F127" s="1124"/>
      <c r="G127" s="1124"/>
      <c r="H127" s="282">
        <f t="shared" si="7"/>
        <v>0</v>
      </c>
      <c r="I127" s="282">
        <f t="shared" si="7"/>
        <v>0</v>
      </c>
    </row>
    <row r="128" spans="2:9" ht="15" customHeight="1">
      <c r="B128" s="444" t="s">
        <v>2</v>
      </c>
      <c r="C128" s="445"/>
      <c r="D128" s="435">
        <f>SUM(D98:D127)</f>
        <v>1333</v>
      </c>
      <c r="E128" s="435">
        <f>SUM(E98:E127)</f>
        <v>1325</v>
      </c>
      <c r="F128" s="435">
        <f>SUM(F98:F127)</f>
        <v>8824</v>
      </c>
      <c r="G128" s="435">
        <f>SUM(G98:G127)</f>
        <v>9244</v>
      </c>
      <c r="H128" s="424">
        <f t="shared" si="7"/>
        <v>10157</v>
      </c>
      <c r="I128" s="424">
        <f t="shared" si="7"/>
        <v>10569</v>
      </c>
    </row>
    <row r="129" spans="2:9" ht="15" customHeight="1">
      <c r="B129" s="446"/>
      <c r="C129" s="447" t="s">
        <v>2110</v>
      </c>
      <c r="D129" s="440"/>
      <c r="E129" s="440"/>
      <c r="F129" s="440"/>
      <c r="G129" s="440"/>
      <c r="H129" s="440"/>
      <c r="I129" s="440"/>
    </row>
    <row r="130" spans="2:9" ht="15" customHeight="1">
      <c r="B130" s="406" t="s">
        <v>2111</v>
      </c>
      <c r="C130" s="448" t="s">
        <v>2112</v>
      </c>
      <c r="D130" s="1124"/>
      <c r="E130" s="1124"/>
      <c r="F130" s="1124">
        <v>53</v>
      </c>
      <c r="G130" s="1124">
        <v>53</v>
      </c>
      <c r="H130" s="282">
        <f t="shared" ref="H130:I142" si="8">D130+F130</f>
        <v>53</v>
      </c>
      <c r="I130" s="282">
        <f t="shared" si="8"/>
        <v>53</v>
      </c>
    </row>
    <row r="131" spans="2:9" ht="15" customHeight="1">
      <c r="B131" s="406" t="s">
        <v>2113</v>
      </c>
      <c r="C131" s="1088" t="s">
        <v>2114</v>
      </c>
      <c r="D131" s="1124"/>
      <c r="E131" s="1124"/>
      <c r="F131" s="1124">
        <v>270</v>
      </c>
      <c r="G131" s="1124">
        <v>270</v>
      </c>
      <c r="H131" s="282">
        <f t="shared" si="8"/>
        <v>270</v>
      </c>
      <c r="I131" s="282">
        <f t="shared" si="8"/>
        <v>270</v>
      </c>
    </row>
    <row r="132" spans="2:9" ht="15" customHeight="1">
      <c r="B132" s="411" t="s">
        <v>2115</v>
      </c>
      <c r="C132" s="430" t="s">
        <v>2116</v>
      </c>
      <c r="D132" s="1124"/>
      <c r="E132" s="1124">
        <v>1</v>
      </c>
      <c r="F132" s="1124"/>
      <c r="G132" s="1124"/>
      <c r="H132" s="282">
        <f t="shared" si="8"/>
        <v>0</v>
      </c>
      <c r="I132" s="282">
        <f t="shared" si="8"/>
        <v>1</v>
      </c>
    </row>
    <row r="133" spans="2:9" ht="15" customHeight="1">
      <c r="B133" s="411" t="s">
        <v>2117</v>
      </c>
      <c r="C133" s="430" t="s">
        <v>2118</v>
      </c>
      <c r="D133" s="1124">
        <v>77</v>
      </c>
      <c r="E133" s="1124">
        <v>50</v>
      </c>
      <c r="F133" s="1124">
        <v>1</v>
      </c>
      <c r="G133" s="1124">
        <v>5</v>
      </c>
      <c r="H133" s="282">
        <f t="shared" si="8"/>
        <v>78</v>
      </c>
      <c r="I133" s="282">
        <f t="shared" si="8"/>
        <v>55</v>
      </c>
    </row>
    <row r="134" spans="2:9" ht="15" customHeight="1">
      <c r="B134" s="406" t="s">
        <v>2119</v>
      </c>
      <c r="C134" s="1088" t="s">
        <v>2120</v>
      </c>
      <c r="D134" s="1124">
        <v>148</v>
      </c>
      <c r="E134" s="1124">
        <v>145</v>
      </c>
      <c r="F134" s="1124">
        <v>8</v>
      </c>
      <c r="G134" s="1124">
        <v>50</v>
      </c>
      <c r="H134" s="282">
        <f t="shared" si="8"/>
        <v>156</v>
      </c>
      <c r="I134" s="282">
        <f t="shared" si="8"/>
        <v>195</v>
      </c>
    </row>
    <row r="135" spans="2:9" ht="15" customHeight="1">
      <c r="B135" s="411" t="s">
        <v>2121</v>
      </c>
      <c r="C135" s="430" t="s">
        <v>2122</v>
      </c>
      <c r="D135" s="1124">
        <v>2</v>
      </c>
      <c r="E135" s="1124"/>
      <c r="F135" s="1124"/>
      <c r="G135" s="1124"/>
      <c r="H135" s="282">
        <f t="shared" si="8"/>
        <v>2</v>
      </c>
      <c r="I135" s="282">
        <f t="shared" si="8"/>
        <v>0</v>
      </c>
    </row>
    <row r="136" spans="2:9" ht="15" customHeight="1">
      <c r="B136" s="406" t="s">
        <v>2123</v>
      </c>
      <c r="C136" s="1088" t="s">
        <v>2124</v>
      </c>
      <c r="D136" s="1124">
        <v>166</v>
      </c>
      <c r="E136" s="1124">
        <v>160</v>
      </c>
      <c r="F136" s="1124">
        <v>4</v>
      </c>
      <c r="G136" s="1124">
        <v>55</v>
      </c>
      <c r="H136" s="282">
        <f t="shared" si="8"/>
        <v>170</v>
      </c>
      <c r="I136" s="282">
        <f t="shared" si="8"/>
        <v>215</v>
      </c>
    </row>
    <row r="137" spans="2:9" ht="15" customHeight="1">
      <c r="B137" s="449" t="s">
        <v>2125</v>
      </c>
      <c r="C137" s="1088" t="s">
        <v>2126</v>
      </c>
      <c r="D137" s="1124"/>
      <c r="E137" s="1124"/>
      <c r="F137" s="1124"/>
      <c r="G137" s="1124"/>
      <c r="H137" s="282">
        <f t="shared" si="8"/>
        <v>0</v>
      </c>
      <c r="I137" s="282">
        <f t="shared" si="8"/>
        <v>0</v>
      </c>
    </row>
    <row r="138" spans="2:9" ht="15" customHeight="1">
      <c r="B138" s="406" t="s">
        <v>2127</v>
      </c>
      <c r="C138" s="431" t="s">
        <v>2128</v>
      </c>
      <c r="D138" s="1124">
        <v>10</v>
      </c>
      <c r="E138" s="1124">
        <v>5</v>
      </c>
      <c r="F138" s="1124"/>
      <c r="G138" s="1124">
        <v>5</v>
      </c>
      <c r="H138" s="282">
        <f t="shared" si="8"/>
        <v>10</v>
      </c>
      <c r="I138" s="282">
        <f t="shared" si="8"/>
        <v>10</v>
      </c>
    </row>
    <row r="139" spans="2:9" ht="15" customHeight="1">
      <c r="B139" s="406" t="s">
        <v>2129</v>
      </c>
      <c r="C139" s="432" t="s">
        <v>2130</v>
      </c>
      <c r="D139" s="1124"/>
      <c r="E139" s="1124"/>
      <c r="F139" s="1124">
        <v>55</v>
      </c>
      <c r="G139" s="1124">
        <v>30</v>
      </c>
      <c r="H139" s="282">
        <f t="shared" si="8"/>
        <v>55</v>
      </c>
      <c r="I139" s="282">
        <f t="shared" si="8"/>
        <v>30</v>
      </c>
    </row>
    <row r="140" spans="2:9" ht="15" customHeight="1">
      <c r="B140" s="411" t="s">
        <v>2131</v>
      </c>
      <c r="C140" s="411" t="s">
        <v>2132</v>
      </c>
      <c r="D140" s="1124"/>
      <c r="E140" s="1124"/>
      <c r="F140" s="1124">
        <v>323</v>
      </c>
      <c r="G140" s="1124">
        <v>300</v>
      </c>
      <c r="H140" s="282">
        <f t="shared" si="8"/>
        <v>323</v>
      </c>
      <c r="I140" s="282">
        <f t="shared" si="8"/>
        <v>300</v>
      </c>
    </row>
    <row r="141" spans="2:9" ht="15" customHeight="1">
      <c r="B141" s="411" t="s">
        <v>2133</v>
      </c>
      <c r="C141" s="411" t="s">
        <v>2134</v>
      </c>
      <c r="D141" s="1124"/>
      <c r="E141" s="1124"/>
      <c r="F141" s="1124">
        <v>4</v>
      </c>
      <c r="G141" s="1124">
        <v>4</v>
      </c>
      <c r="H141" s="282">
        <f t="shared" si="8"/>
        <v>4</v>
      </c>
      <c r="I141" s="282">
        <f t="shared" si="8"/>
        <v>4</v>
      </c>
    </row>
    <row r="142" spans="2:9" ht="15" customHeight="1" thickBot="1">
      <c r="B142" s="444" t="s">
        <v>2</v>
      </c>
      <c r="C142" s="445"/>
      <c r="D142" s="450">
        <f>SUM(D130:D141)</f>
        <v>403</v>
      </c>
      <c r="E142" s="450">
        <f>SUM(E130:E141)</f>
        <v>361</v>
      </c>
      <c r="F142" s="450">
        <f>SUM(F130:F141)</f>
        <v>718</v>
      </c>
      <c r="G142" s="450">
        <f>SUM(G130:G141)</f>
        <v>772</v>
      </c>
      <c r="H142" s="451">
        <f t="shared" si="8"/>
        <v>1121</v>
      </c>
      <c r="I142" s="452">
        <f t="shared" si="8"/>
        <v>1133</v>
      </c>
    </row>
    <row r="143" spans="2:9" ht="15" customHeight="1" thickBot="1">
      <c r="B143" s="453"/>
      <c r="C143" s="454" t="s">
        <v>55</v>
      </c>
      <c r="D143" s="455"/>
      <c r="E143" s="456"/>
      <c r="F143" s="456"/>
      <c r="G143" s="456"/>
      <c r="H143" s="457"/>
      <c r="I143" s="458"/>
    </row>
    <row r="144" spans="2:9" ht="15" customHeight="1">
      <c r="B144" s="459"/>
      <c r="C144" s="460" t="s">
        <v>2141</v>
      </c>
      <c r="D144" s="461"/>
      <c r="E144" s="462"/>
      <c r="F144" s="462"/>
      <c r="G144" s="462"/>
      <c r="H144" s="463"/>
      <c r="I144" s="463"/>
    </row>
    <row r="145" spans="2:10" ht="15" customHeight="1">
      <c r="B145" s="464" t="s">
        <v>2143</v>
      </c>
      <c r="C145" s="465" t="s">
        <v>2144</v>
      </c>
      <c r="D145" s="1126"/>
      <c r="E145" s="1126"/>
      <c r="F145" s="1126">
        <v>1</v>
      </c>
      <c r="G145" s="1126">
        <v>1</v>
      </c>
      <c r="H145" s="1125">
        <f t="shared" ref="H145:I160" si="9">D145+F145</f>
        <v>1</v>
      </c>
      <c r="I145" s="282">
        <f t="shared" si="9"/>
        <v>1</v>
      </c>
    </row>
    <row r="146" spans="2:10" ht="15" customHeight="1">
      <c r="B146" s="1267" t="s">
        <v>3990</v>
      </c>
      <c r="C146" s="1268" t="s">
        <v>3991</v>
      </c>
      <c r="D146" s="1265"/>
      <c r="E146" s="1265"/>
      <c r="F146" s="1269">
        <v>1</v>
      </c>
      <c r="G146" s="1269">
        <v>1</v>
      </c>
      <c r="H146" s="1266"/>
      <c r="I146" s="282">
        <f t="shared" si="9"/>
        <v>1</v>
      </c>
    </row>
    <row r="147" spans="2:10" ht="15" customHeight="1">
      <c r="B147" s="464" t="s">
        <v>2145</v>
      </c>
      <c r="C147" s="465" t="s">
        <v>2146</v>
      </c>
      <c r="D147" s="1124"/>
      <c r="E147" s="1124"/>
      <c r="F147" s="1124">
        <v>2</v>
      </c>
      <c r="G147" s="1124">
        <v>1</v>
      </c>
      <c r="H147" s="282">
        <f t="shared" si="9"/>
        <v>2</v>
      </c>
      <c r="I147" s="282">
        <f t="shared" si="9"/>
        <v>1</v>
      </c>
      <c r="J147" s="1005"/>
    </row>
    <row r="148" spans="2:10" ht="15" customHeight="1">
      <c r="B148" s="406" t="s">
        <v>2147</v>
      </c>
      <c r="C148" s="407" t="s">
        <v>2148</v>
      </c>
      <c r="D148" s="1124"/>
      <c r="E148" s="1124"/>
      <c r="F148" s="1124">
        <v>16</v>
      </c>
      <c r="G148" s="1124">
        <v>15</v>
      </c>
      <c r="H148" s="282">
        <f t="shared" si="9"/>
        <v>16</v>
      </c>
      <c r="I148" s="282">
        <f t="shared" si="9"/>
        <v>15</v>
      </c>
    </row>
    <row r="149" spans="2:10" ht="15" customHeight="1">
      <c r="B149" s="464" t="s">
        <v>2149</v>
      </c>
      <c r="C149" s="465" t="s">
        <v>2150</v>
      </c>
      <c r="D149" s="1124"/>
      <c r="E149" s="1124"/>
      <c r="F149" s="1124">
        <v>1</v>
      </c>
      <c r="G149" s="1124">
        <v>1</v>
      </c>
      <c r="H149" s="282">
        <f t="shared" si="9"/>
        <v>1</v>
      </c>
      <c r="I149" s="282">
        <f t="shared" si="9"/>
        <v>1</v>
      </c>
    </row>
    <row r="150" spans="2:10" ht="15" customHeight="1">
      <c r="B150" s="464" t="s">
        <v>2151</v>
      </c>
      <c r="C150" s="465" t="s">
        <v>2152</v>
      </c>
      <c r="D150" s="1124"/>
      <c r="E150" s="1124"/>
      <c r="F150" s="1124"/>
      <c r="G150" s="1124">
        <v>2</v>
      </c>
      <c r="H150" s="282">
        <f t="shared" si="9"/>
        <v>0</v>
      </c>
      <c r="I150" s="282">
        <f t="shared" si="9"/>
        <v>2</v>
      </c>
    </row>
    <row r="151" spans="2:10" ht="15" customHeight="1">
      <c r="B151" s="464" t="s">
        <v>2153</v>
      </c>
      <c r="C151" s="465" t="s">
        <v>2154</v>
      </c>
      <c r="D151" s="1124"/>
      <c r="E151" s="1124"/>
      <c r="F151" s="1124"/>
      <c r="G151" s="1124">
        <v>1</v>
      </c>
      <c r="H151" s="282">
        <f t="shared" si="9"/>
        <v>0</v>
      </c>
      <c r="I151" s="282">
        <f t="shared" si="9"/>
        <v>1</v>
      </c>
    </row>
    <row r="152" spans="2:10" ht="15" customHeight="1">
      <c r="B152" s="464" t="s">
        <v>2155</v>
      </c>
      <c r="C152" s="465" t="s">
        <v>2156</v>
      </c>
      <c r="D152" s="1124"/>
      <c r="E152" s="1124"/>
      <c r="F152" s="1124">
        <v>9</v>
      </c>
      <c r="G152" s="1124">
        <v>10</v>
      </c>
      <c r="H152" s="282">
        <f t="shared" si="9"/>
        <v>9</v>
      </c>
      <c r="I152" s="282">
        <f t="shared" si="9"/>
        <v>10</v>
      </c>
    </row>
    <row r="153" spans="2:10" ht="15" customHeight="1">
      <c r="B153" s="464" t="s">
        <v>2157</v>
      </c>
      <c r="C153" s="466" t="s">
        <v>2158</v>
      </c>
      <c r="D153" s="467"/>
      <c r="E153" s="467"/>
      <c r="F153" s="468">
        <v>3</v>
      </c>
      <c r="G153" s="468">
        <v>2</v>
      </c>
      <c r="H153" s="469">
        <v>3</v>
      </c>
      <c r="I153" s="282">
        <f t="shared" si="9"/>
        <v>2</v>
      </c>
    </row>
    <row r="154" spans="2:10" ht="15" customHeight="1">
      <c r="B154" s="464" t="s">
        <v>2159</v>
      </c>
      <c r="C154" s="465" t="s">
        <v>2160</v>
      </c>
      <c r="D154" s="1124"/>
      <c r="E154" s="1124"/>
      <c r="F154" s="1124">
        <v>6</v>
      </c>
      <c r="G154" s="1124">
        <v>5</v>
      </c>
      <c r="H154" s="282">
        <f>D154+F154</f>
        <v>6</v>
      </c>
      <c r="I154" s="282">
        <f t="shared" si="9"/>
        <v>5</v>
      </c>
    </row>
    <row r="155" spans="2:10" ht="15" customHeight="1">
      <c r="B155" s="464" t="s">
        <v>2161</v>
      </c>
      <c r="C155" s="465" t="s">
        <v>2162</v>
      </c>
      <c r="D155" s="1124"/>
      <c r="E155" s="1124"/>
      <c r="F155" s="1124">
        <v>1</v>
      </c>
      <c r="G155" s="1124">
        <v>1</v>
      </c>
      <c r="H155" s="282">
        <f>D155+F155</f>
        <v>1</v>
      </c>
      <c r="I155" s="282">
        <f t="shared" si="9"/>
        <v>1</v>
      </c>
    </row>
    <row r="156" spans="2:10" ht="15" customHeight="1">
      <c r="B156" s="464" t="s">
        <v>2163</v>
      </c>
      <c r="C156" s="465" t="s">
        <v>2164</v>
      </c>
      <c r="D156" s="1091"/>
      <c r="E156" s="1091"/>
      <c r="F156" s="1124">
        <v>8</v>
      </c>
      <c r="G156" s="1124">
        <v>10</v>
      </c>
      <c r="H156" s="282">
        <f>D156+F156</f>
        <v>8</v>
      </c>
      <c r="I156" s="282">
        <f t="shared" si="9"/>
        <v>10</v>
      </c>
    </row>
    <row r="157" spans="2:10" ht="15" customHeight="1">
      <c r="B157" s="470" t="s">
        <v>2165</v>
      </c>
      <c r="C157" s="470" t="s">
        <v>2166</v>
      </c>
      <c r="D157" s="468"/>
      <c r="E157" s="468"/>
      <c r="F157" s="468">
        <v>5</v>
      </c>
      <c r="G157" s="468">
        <v>5</v>
      </c>
      <c r="H157" s="469">
        <f>D157+F157</f>
        <v>5</v>
      </c>
      <c r="I157" s="282">
        <f t="shared" si="9"/>
        <v>5</v>
      </c>
    </row>
    <row r="158" spans="2:10" ht="15" customHeight="1">
      <c r="B158" s="464" t="s">
        <v>2167</v>
      </c>
      <c r="C158" s="465" t="s">
        <v>2168</v>
      </c>
      <c r="D158" s="1124"/>
      <c r="E158" s="1124"/>
      <c r="F158" s="1124">
        <v>12</v>
      </c>
      <c r="G158" s="1124">
        <v>15</v>
      </c>
      <c r="H158" s="282">
        <f>D158+F158</f>
        <v>12</v>
      </c>
      <c r="I158" s="282">
        <f t="shared" si="9"/>
        <v>15</v>
      </c>
    </row>
    <row r="159" spans="2:10" ht="15" customHeight="1">
      <c r="B159" s="464" t="s">
        <v>2169</v>
      </c>
      <c r="C159" s="465" t="s">
        <v>2170</v>
      </c>
      <c r="D159" s="1124"/>
      <c r="E159" s="1124"/>
      <c r="F159" s="1124">
        <v>3</v>
      </c>
      <c r="G159" s="1124">
        <v>2</v>
      </c>
      <c r="H159" s="282">
        <v>0</v>
      </c>
      <c r="I159" s="282">
        <f t="shared" si="9"/>
        <v>2</v>
      </c>
    </row>
    <row r="160" spans="2:10" ht="15" customHeight="1">
      <c r="B160" s="464" t="s">
        <v>2171</v>
      </c>
      <c r="C160" s="465" t="s">
        <v>2172</v>
      </c>
      <c r="D160" s="1124"/>
      <c r="E160" s="1124"/>
      <c r="F160" s="1124">
        <v>9</v>
      </c>
      <c r="G160" s="1124">
        <v>9</v>
      </c>
      <c r="H160" s="282">
        <f t="shared" ref="H160:I228" si="10">D160+F160</f>
        <v>9</v>
      </c>
      <c r="I160" s="282">
        <f t="shared" si="9"/>
        <v>9</v>
      </c>
    </row>
    <row r="161" spans="2:9" ht="15" customHeight="1">
      <c r="B161" s="464" t="s">
        <v>2173</v>
      </c>
      <c r="C161" s="465" t="s">
        <v>2174</v>
      </c>
      <c r="D161" s="1124"/>
      <c r="E161" s="1124"/>
      <c r="F161" s="1124">
        <v>5</v>
      </c>
      <c r="G161" s="1124">
        <v>5</v>
      </c>
      <c r="H161" s="282">
        <f t="shared" si="10"/>
        <v>5</v>
      </c>
      <c r="I161" s="282">
        <f t="shared" si="10"/>
        <v>5</v>
      </c>
    </row>
    <row r="162" spans="2:9" ht="15" customHeight="1">
      <c r="B162" s="464" t="s">
        <v>2175</v>
      </c>
      <c r="C162" s="465" t="s">
        <v>2176</v>
      </c>
      <c r="D162" s="1124"/>
      <c r="E162" s="1124"/>
      <c r="F162" s="1124">
        <v>7</v>
      </c>
      <c r="G162" s="1124">
        <v>5</v>
      </c>
      <c r="H162" s="282">
        <f t="shared" si="10"/>
        <v>7</v>
      </c>
      <c r="I162" s="282">
        <f t="shared" si="10"/>
        <v>5</v>
      </c>
    </row>
    <row r="163" spans="2:9" ht="15" customHeight="1">
      <c r="B163" s="464" t="s">
        <v>2177</v>
      </c>
      <c r="C163" s="465" t="s">
        <v>2178</v>
      </c>
      <c r="D163" s="1124"/>
      <c r="E163" s="1124"/>
      <c r="F163" s="1124">
        <v>2</v>
      </c>
      <c r="G163" s="1124">
        <v>2</v>
      </c>
      <c r="H163" s="282">
        <f t="shared" si="10"/>
        <v>2</v>
      </c>
      <c r="I163" s="282">
        <f t="shared" si="10"/>
        <v>2</v>
      </c>
    </row>
    <row r="164" spans="2:9" ht="15" customHeight="1">
      <c r="B164" s="464" t="s">
        <v>2179</v>
      </c>
      <c r="C164" s="465" t="s">
        <v>2180</v>
      </c>
      <c r="D164" s="1124"/>
      <c r="E164" s="1124"/>
      <c r="F164" s="1124">
        <v>5</v>
      </c>
      <c r="G164" s="1335">
        <v>5</v>
      </c>
      <c r="H164" s="282">
        <f t="shared" si="10"/>
        <v>5</v>
      </c>
      <c r="I164" s="282">
        <f t="shared" si="10"/>
        <v>5</v>
      </c>
    </row>
    <row r="165" spans="2:9" ht="15" customHeight="1">
      <c r="B165" s="464" t="s">
        <v>2181</v>
      </c>
      <c r="C165" s="465" t="s">
        <v>2182</v>
      </c>
      <c r="D165" s="1124"/>
      <c r="E165" s="1124"/>
      <c r="F165" s="1124"/>
      <c r="G165" s="1124">
        <v>1</v>
      </c>
      <c r="H165" s="282">
        <f t="shared" si="10"/>
        <v>0</v>
      </c>
      <c r="I165" s="282">
        <f t="shared" si="10"/>
        <v>1</v>
      </c>
    </row>
    <row r="166" spans="2:9" ht="15" customHeight="1">
      <c r="B166" s="406" t="s">
        <v>2183</v>
      </c>
      <c r="C166" s="407" t="s">
        <v>2184</v>
      </c>
      <c r="D166" s="1124"/>
      <c r="E166" s="1124"/>
      <c r="F166" s="1124"/>
      <c r="G166" s="1124"/>
      <c r="H166" s="282">
        <f t="shared" si="10"/>
        <v>0</v>
      </c>
      <c r="I166" s="282">
        <f t="shared" si="10"/>
        <v>0</v>
      </c>
    </row>
    <row r="167" spans="2:9" ht="15" customHeight="1">
      <c r="B167" s="464" t="s">
        <v>2185</v>
      </c>
      <c r="C167" s="465" t="s">
        <v>2186</v>
      </c>
      <c r="D167" s="1124"/>
      <c r="E167" s="1124"/>
      <c r="F167" s="1124">
        <v>11</v>
      </c>
      <c r="G167" s="1124">
        <v>10</v>
      </c>
      <c r="H167" s="282">
        <f t="shared" si="10"/>
        <v>11</v>
      </c>
      <c r="I167" s="282">
        <f t="shared" si="10"/>
        <v>10</v>
      </c>
    </row>
    <row r="168" spans="2:9" ht="15" customHeight="1">
      <c r="B168" s="1267" t="s">
        <v>3985</v>
      </c>
      <c r="C168" s="1268" t="s">
        <v>4028</v>
      </c>
      <c r="D168" s="1265"/>
      <c r="E168" s="1265"/>
      <c r="F168" s="1269"/>
      <c r="G168" s="1269"/>
      <c r="H168" s="1266"/>
      <c r="I168" s="282">
        <f t="shared" si="10"/>
        <v>0</v>
      </c>
    </row>
    <row r="169" spans="2:9" ht="15" customHeight="1">
      <c r="B169" s="1267" t="s">
        <v>3986</v>
      </c>
      <c r="C169" s="1268" t="s">
        <v>3987</v>
      </c>
      <c r="D169" s="1265"/>
      <c r="E169" s="1265"/>
      <c r="F169" s="1269"/>
      <c r="G169" s="1269">
        <v>1</v>
      </c>
      <c r="H169" s="1266"/>
      <c r="I169" s="282">
        <f t="shared" si="10"/>
        <v>1</v>
      </c>
    </row>
    <row r="170" spans="2:9" ht="15" customHeight="1">
      <c r="B170" s="471" t="s">
        <v>2187</v>
      </c>
      <c r="C170" s="472" t="s">
        <v>2188</v>
      </c>
      <c r="D170" s="1124"/>
      <c r="E170" s="1124"/>
      <c r="F170" s="1124">
        <v>7</v>
      </c>
      <c r="G170" s="1124">
        <v>5</v>
      </c>
      <c r="H170" s="282">
        <f t="shared" si="10"/>
        <v>7</v>
      </c>
      <c r="I170" s="282">
        <f t="shared" si="10"/>
        <v>5</v>
      </c>
    </row>
    <row r="171" spans="2:9" ht="15" customHeight="1">
      <c r="B171" s="464" t="s">
        <v>2189</v>
      </c>
      <c r="C171" s="465" t="s">
        <v>2190</v>
      </c>
      <c r="D171" s="1124"/>
      <c r="E171" s="1124"/>
      <c r="F171" s="1124">
        <v>31</v>
      </c>
      <c r="G171" s="1335">
        <v>40</v>
      </c>
      <c r="H171" s="282">
        <f t="shared" si="10"/>
        <v>31</v>
      </c>
      <c r="I171" s="282">
        <f t="shared" si="10"/>
        <v>40</v>
      </c>
    </row>
    <row r="172" spans="2:9" ht="15" customHeight="1">
      <c r="B172" s="464" t="s">
        <v>2191</v>
      </c>
      <c r="C172" s="465" t="s">
        <v>2192</v>
      </c>
      <c r="D172" s="1124"/>
      <c r="E172" s="1124"/>
      <c r="F172" s="1124">
        <v>3</v>
      </c>
      <c r="G172" s="1124">
        <v>5</v>
      </c>
      <c r="H172" s="282">
        <f t="shared" si="10"/>
        <v>3</v>
      </c>
      <c r="I172" s="282">
        <f t="shared" si="10"/>
        <v>5</v>
      </c>
    </row>
    <row r="173" spans="2:9" ht="15" customHeight="1">
      <c r="B173" s="471" t="s">
        <v>2193</v>
      </c>
      <c r="C173" s="472" t="s">
        <v>2194</v>
      </c>
      <c r="D173" s="1124"/>
      <c r="E173" s="1124"/>
      <c r="F173" s="1124">
        <v>1</v>
      </c>
      <c r="G173" s="1124">
        <v>2</v>
      </c>
      <c r="H173" s="282">
        <f t="shared" si="10"/>
        <v>1</v>
      </c>
      <c r="I173" s="282">
        <f t="shared" si="10"/>
        <v>2</v>
      </c>
    </row>
    <row r="174" spans="2:9" ht="15" customHeight="1">
      <c r="B174" s="471" t="s">
        <v>2195</v>
      </c>
      <c r="C174" s="472" t="s">
        <v>2196</v>
      </c>
      <c r="D174" s="1124"/>
      <c r="E174" s="1124"/>
      <c r="F174" s="1124"/>
      <c r="G174" s="1124">
        <v>2</v>
      </c>
      <c r="H174" s="282">
        <f t="shared" si="10"/>
        <v>0</v>
      </c>
      <c r="I174" s="282">
        <f t="shared" si="10"/>
        <v>2</v>
      </c>
    </row>
    <row r="175" spans="2:9" ht="15" customHeight="1">
      <c r="B175" s="471" t="s">
        <v>2197</v>
      </c>
      <c r="C175" s="472" t="s">
        <v>2198</v>
      </c>
      <c r="D175" s="1124"/>
      <c r="E175" s="1124"/>
      <c r="F175" s="1124"/>
      <c r="G175" s="1124">
        <v>1</v>
      </c>
      <c r="H175" s="282">
        <f t="shared" si="10"/>
        <v>0</v>
      </c>
      <c r="I175" s="282">
        <f t="shared" si="10"/>
        <v>1</v>
      </c>
    </row>
    <row r="176" spans="2:9" ht="15" customHeight="1">
      <c r="B176" s="471" t="s">
        <v>2199</v>
      </c>
      <c r="C176" s="472" t="s">
        <v>2200</v>
      </c>
      <c r="D176" s="1124"/>
      <c r="E176" s="1124"/>
      <c r="F176" s="1124"/>
      <c r="G176" s="1124">
        <v>1</v>
      </c>
      <c r="H176" s="282">
        <f t="shared" si="10"/>
        <v>0</v>
      </c>
      <c r="I176" s="282">
        <f t="shared" si="10"/>
        <v>1</v>
      </c>
    </row>
    <row r="177" spans="2:9" ht="15" customHeight="1">
      <c r="B177" s="471" t="s">
        <v>2201</v>
      </c>
      <c r="C177" s="472" t="s">
        <v>2202</v>
      </c>
      <c r="D177" s="1124"/>
      <c r="E177" s="1124"/>
      <c r="F177" s="1124"/>
      <c r="G177" s="1124">
        <v>1</v>
      </c>
      <c r="H177" s="282">
        <f t="shared" si="10"/>
        <v>0</v>
      </c>
      <c r="I177" s="282">
        <f t="shared" si="10"/>
        <v>1</v>
      </c>
    </row>
    <row r="178" spans="2:9" ht="15" customHeight="1">
      <c r="B178" s="471" t="s">
        <v>2203</v>
      </c>
      <c r="C178" s="472" t="s">
        <v>4029</v>
      </c>
      <c r="D178" s="1124"/>
      <c r="E178" s="1124"/>
      <c r="F178" s="1124"/>
      <c r="G178" s="1124">
        <v>1</v>
      </c>
      <c r="H178" s="282">
        <f t="shared" si="10"/>
        <v>0</v>
      </c>
      <c r="I178" s="282">
        <f t="shared" si="10"/>
        <v>1</v>
      </c>
    </row>
    <row r="179" spans="2:9" ht="15" customHeight="1">
      <c r="B179" s="1267" t="s">
        <v>3988</v>
      </c>
      <c r="C179" s="1268" t="s">
        <v>3989</v>
      </c>
      <c r="D179" s="1265"/>
      <c r="E179" s="1265"/>
      <c r="F179" s="1269">
        <v>2</v>
      </c>
      <c r="G179" s="1269">
        <v>2</v>
      </c>
      <c r="H179" s="1266"/>
      <c r="I179" s="282">
        <f t="shared" si="10"/>
        <v>2</v>
      </c>
    </row>
    <row r="180" spans="2:9" ht="15" customHeight="1">
      <c r="B180" s="471" t="s">
        <v>2204</v>
      </c>
      <c r="C180" s="472" t="s">
        <v>2205</v>
      </c>
      <c r="D180" s="1124"/>
      <c r="E180" s="1124"/>
      <c r="F180" s="1124"/>
      <c r="G180" s="1124">
        <v>1</v>
      </c>
      <c r="H180" s="282">
        <f t="shared" si="10"/>
        <v>0</v>
      </c>
      <c r="I180" s="282">
        <f t="shared" si="10"/>
        <v>1</v>
      </c>
    </row>
    <row r="181" spans="2:9" ht="15" customHeight="1">
      <c r="B181" s="471" t="s">
        <v>2206</v>
      </c>
      <c r="C181" s="472" t="s">
        <v>2207</v>
      </c>
      <c r="D181" s="1124"/>
      <c r="E181" s="1124"/>
      <c r="F181" s="1124">
        <v>2</v>
      </c>
      <c r="G181" s="1124">
        <v>3</v>
      </c>
      <c r="H181" s="282">
        <f t="shared" si="10"/>
        <v>2</v>
      </c>
      <c r="I181" s="282">
        <f t="shared" si="10"/>
        <v>3</v>
      </c>
    </row>
    <row r="182" spans="2:9" ht="15" customHeight="1">
      <c r="B182" s="1267" t="s">
        <v>3992</v>
      </c>
      <c r="C182" s="1268" t="s">
        <v>3993</v>
      </c>
      <c r="D182" s="1265"/>
      <c r="E182" s="1265"/>
      <c r="F182" s="1269">
        <v>1</v>
      </c>
      <c r="G182" s="1269">
        <v>2</v>
      </c>
      <c r="H182" s="1266"/>
      <c r="I182" s="282">
        <f t="shared" si="10"/>
        <v>2</v>
      </c>
    </row>
    <row r="183" spans="2:9" ht="15" customHeight="1">
      <c r="B183" s="464" t="s">
        <v>2208</v>
      </c>
      <c r="C183" s="465" t="s">
        <v>2209</v>
      </c>
      <c r="D183" s="1124"/>
      <c r="E183" s="1124"/>
      <c r="F183" s="1124"/>
      <c r="G183" s="1124"/>
      <c r="H183" s="282">
        <f t="shared" si="10"/>
        <v>0</v>
      </c>
      <c r="I183" s="282">
        <f t="shared" si="10"/>
        <v>0</v>
      </c>
    </row>
    <row r="184" spans="2:9" ht="15" customHeight="1">
      <c r="B184" s="417" t="s">
        <v>2210</v>
      </c>
      <c r="C184" s="473" t="s">
        <v>2211</v>
      </c>
      <c r="D184" s="1124"/>
      <c r="E184" s="1124"/>
      <c r="F184" s="1124"/>
      <c r="G184" s="1124"/>
      <c r="H184" s="282">
        <f t="shared" si="10"/>
        <v>0</v>
      </c>
      <c r="I184" s="282">
        <f t="shared" si="10"/>
        <v>0</v>
      </c>
    </row>
    <row r="185" spans="2:9" ht="15" customHeight="1">
      <c r="B185" s="471" t="s">
        <v>2212</v>
      </c>
      <c r="C185" s="472" t="s">
        <v>2213</v>
      </c>
      <c r="D185" s="1124"/>
      <c r="E185" s="1124"/>
      <c r="F185" s="1124">
        <v>6</v>
      </c>
      <c r="G185" s="1124">
        <v>5</v>
      </c>
      <c r="H185" s="282">
        <f t="shared" si="10"/>
        <v>6</v>
      </c>
      <c r="I185" s="282">
        <f t="shared" si="10"/>
        <v>5</v>
      </c>
    </row>
    <row r="186" spans="2:9" ht="15" customHeight="1">
      <c r="B186" s="471" t="s">
        <v>2214</v>
      </c>
      <c r="C186" s="472" t="s">
        <v>2215</v>
      </c>
      <c r="D186" s="1124"/>
      <c r="E186" s="1124"/>
      <c r="F186" s="1124">
        <v>3</v>
      </c>
      <c r="G186" s="1124">
        <v>3</v>
      </c>
      <c r="H186" s="282">
        <f t="shared" si="10"/>
        <v>3</v>
      </c>
      <c r="I186" s="282">
        <f t="shared" si="10"/>
        <v>3</v>
      </c>
    </row>
    <row r="187" spans="2:9" ht="15" customHeight="1">
      <c r="B187" s="471" t="s">
        <v>2216</v>
      </c>
      <c r="C187" s="472" t="s">
        <v>2217</v>
      </c>
      <c r="D187" s="1124"/>
      <c r="E187" s="1124"/>
      <c r="F187" s="1124">
        <v>12</v>
      </c>
      <c r="G187" s="1124">
        <v>12</v>
      </c>
      <c r="H187" s="282">
        <f t="shared" si="10"/>
        <v>12</v>
      </c>
      <c r="I187" s="282">
        <f t="shared" si="10"/>
        <v>12</v>
      </c>
    </row>
    <row r="188" spans="2:9" ht="15" customHeight="1">
      <c r="B188" s="471" t="s">
        <v>2218</v>
      </c>
      <c r="C188" s="472" t="s">
        <v>2219</v>
      </c>
      <c r="D188" s="1124"/>
      <c r="E188" s="1124"/>
      <c r="F188" s="1124"/>
      <c r="G188" s="1124">
        <v>1</v>
      </c>
      <c r="H188" s="282">
        <f t="shared" si="10"/>
        <v>0</v>
      </c>
      <c r="I188" s="282">
        <f t="shared" si="10"/>
        <v>1</v>
      </c>
    </row>
    <row r="189" spans="2:9" ht="15" customHeight="1">
      <c r="B189" s="471" t="s">
        <v>2220</v>
      </c>
      <c r="C189" s="472" t="s">
        <v>2221</v>
      </c>
      <c r="D189" s="1124"/>
      <c r="E189" s="1124"/>
      <c r="F189" s="1124">
        <v>2</v>
      </c>
      <c r="G189" s="1124">
        <v>2</v>
      </c>
      <c r="H189" s="282">
        <f t="shared" si="10"/>
        <v>2</v>
      </c>
      <c r="I189" s="282">
        <f t="shared" si="10"/>
        <v>2</v>
      </c>
    </row>
    <row r="190" spans="2:9" ht="15" customHeight="1">
      <c r="B190" s="471" t="s">
        <v>1915</v>
      </c>
      <c r="C190" s="472" t="s">
        <v>2222</v>
      </c>
      <c r="D190" s="1124"/>
      <c r="E190" s="1124"/>
      <c r="F190" s="1124">
        <v>50</v>
      </c>
      <c r="G190" s="1335">
        <v>75</v>
      </c>
      <c r="H190" s="282">
        <f t="shared" si="10"/>
        <v>50</v>
      </c>
      <c r="I190" s="282">
        <f t="shared" si="10"/>
        <v>75</v>
      </c>
    </row>
    <row r="191" spans="2:9" ht="15" customHeight="1">
      <c r="B191" s="471" t="s">
        <v>2223</v>
      </c>
      <c r="C191" s="472" t="s">
        <v>2224</v>
      </c>
      <c r="D191" s="1124"/>
      <c r="E191" s="1124"/>
      <c r="F191" s="1124">
        <v>3</v>
      </c>
      <c r="G191" s="1124">
        <v>3</v>
      </c>
      <c r="H191" s="282">
        <f t="shared" si="10"/>
        <v>3</v>
      </c>
      <c r="I191" s="282">
        <f t="shared" si="10"/>
        <v>3</v>
      </c>
    </row>
    <row r="192" spans="2:9" ht="15" customHeight="1">
      <c r="B192" s="406" t="s">
        <v>2225</v>
      </c>
      <c r="C192" s="407" t="s">
        <v>2226</v>
      </c>
      <c r="D192" s="1124"/>
      <c r="E192" s="1124"/>
      <c r="F192" s="1124">
        <v>11</v>
      </c>
      <c r="G192" s="1335">
        <v>15</v>
      </c>
      <c r="H192" s="282">
        <f t="shared" si="10"/>
        <v>11</v>
      </c>
      <c r="I192" s="282">
        <f t="shared" si="10"/>
        <v>15</v>
      </c>
    </row>
    <row r="193" spans="2:9" ht="15" customHeight="1">
      <c r="B193" s="464" t="s">
        <v>2227</v>
      </c>
      <c r="C193" s="465" t="s">
        <v>2228</v>
      </c>
      <c r="D193" s="1124"/>
      <c r="E193" s="1124"/>
      <c r="F193" s="1124">
        <v>13</v>
      </c>
      <c r="G193" s="1124">
        <v>12</v>
      </c>
      <c r="H193" s="282">
        <f t="shared" si="10"/>
        <v>13</v>
      </c>
      <c r="I193" s="282">
        <f t="shared" si="10"/>
        <v>12</v>
      </c>
    </row>
    <row r="194" spans="2:9" ht="15" customHeight="1">
      <c r="B194" s="464" t="s">
        <v>2229</v>
      </c>
      <c r="C194" s="465" t="s">
        <v>2230</v>
      </c>
      <c r="D194" s="1124"/>
      <c r="E194" s="1124"/>
      <c r="F194" s="1124">
        <v>2</v>
      </c>
      <c r="G194" s="1124">
        <v>2</v>
      </c>
      <c r="H194" s="282">
        <f t="shared" si="10"/>
        <v>2</v>
      </c>
      <c r="I194" s="282">
        <f t="shared" si="10"/>
        <v>2</v>
      </c>
    </row>
    <row r="195" spans="2:9" ht="15" customHeight="1">
      <c r="B195" s="464" t="s">
        <v>2231</v>
      </c>
      <c r="C195" s="465" t="s">
        <v>2232</v>
      </c>
      <c r="D195" s="1124"/>
      <c r="E195" s="1124"/>
      <c r="F195" s="1124"/>
      <c r="G195" s="1124">
        <v>1</v>
      </c>
      <c r="H195" s="282">
        <f t="shared" si="10"/>
        <v>0</v>
      </c>
      <c r="I195" s="282">
        <f t="shared" si="10"/>
        <v>1</v>
      </c>
    </row>
    <row r="196" spans="2:9" ht="15" customHeight="1">
      <c r="B196" s="474" t="s">
        <v>2233</v>
      </c>
      <c r="C196" s="465" t="s">
        <v>2234</v>
      </c>
      <c r="D196" s="1124"/>
      <c r="E196" s="1124"/>
      <c r="F196" s="1124">
        <v>5</v>
      </c>
      <c r="G196" s="1335">
        <v>8</v>
      </c>
      <c r="H196" s="282">
        <f t="shared" si="10"/>
        <v>5</v>
      </c>
      <c r="I196" s="282">
        <f t="shared" si="10"/>
        <v>8</v>
      </c>
    </row>
    <row r="197" spans="2:9" ht="15" customHeight="1">
      <c r="B197" s="471" t="s">
        <v>2235</v>
      </c>
      <c r="C197" s="472" t="s">
        <v>2236</v>
      </c>
      <c r="D197" s="1124"/>
      <c r="E197" s="1124"/>
      <c r="F197" s="1124"/>
      <c r="G197" s="1124"/>
      <c r="H197" s="282">
        <f t="shared" si="10"/>
        <v>0</v>
      </c>
      <c r="I197" s="282">
        <f t="shared" si="10"/>
        <v>0</v>
      </c>
    </row>
    <row r="198" spans="2:9" ht="15" customHeight="1">
      <c r="B198" s="475" t="s">
        <v>150</v>
      </c>
      <c r="C198" s="473" t="s">
        <v>161</v>
      </c>
      <c r="D198" s="1124"/>
      <c r="E198" s="1124"/>
      <c r="F198" s="1124">
        <v>8</v>
      </c>
      <c r="G198" s="1335">
        <v>20</v>
      </c>
      <c r="H198" s="282">
        <f t="shared" si="10"/>
        <v>8</v>
      </c>
      <c r="I198" s="282">
        <f t="shared" si="10"/>
        <v>20</v>
      </c>
    </row>
    <row r="199" spans="2:9" ht="15" customHeight="1">
      <c r="B199" s="471" t="s">
        <v>2237</v>
      </c>
      <c r="C199" s="472" t="s">
        <v>2238</v>
      </c>
      <c r="D199" s="1124"/>
      <c r="E199" s="1124"/>
      <c r="F199" s="1124">
        <v>12</v>
      </c>
      <c r="G199" s="1335">
        <v>20</v>
      </c>
      <c r="H199" s="282">
        <f t="shared" si="10"/>
        <v>12</v>
      </c>
      <c r="I199" s="282">
        <f t="shared" si="10"/>
        <v>20</v>
      </c>
    </row>
    <row r="200" spans="2:9" ht="15" customHeight="1">
      <c r="B200" s="471" t="s">
        <v>2239</v>
      </c>
      <c r="C200" s="472" t="s">
        <v>2240</v>
      </c>
      <c r="D200" s="1124"/>
      <c r="E200" s="1124"/>
      <c r="F200" s="1124"/>
      <c r="G200" s="1124">
        <v>1</v>
      </c>
      <c r="H200" s="282">
        <f t="shared" si="10"/>
        <v>0</v>
      </c>
      <c r="I200" s="282">
        <f t="shared" si="10"/>
        <v>1</v>
      </c>
    </row>
    <row r="201" spans="2:9" ht="15" customHeight="1">
      <c r="B201" s="471" t="s">
        <v>2241</v>
      </c>
      <c r="C201" s="472" t="s">
        <v>2242</v>
      </c>
      <c r="D201" s="1124"/>
      <c r="E201" s="1124"/>
      <c r="F201" s="1124">
        <v>3</v>
      </c>
      <c r="G201" s="1124">
        <v>3</v>
      </c>
      <c r="H201" s="282">
        <f t="shared" si="10"/>
        <v>3</v>
      </c>
      <c r="I201" s="282">
        <f t="shared" si="10"/>
        <v>3</v>
      </c>
    </row>
    <row r="202" spans="2:9" ht="15" customHeight="1">
      <c r="B202" s="471" t="s">
        <v>2243</v>
      </c>
      <c r="C202" s="472" t="s">
        <v>2244</v>
      </c>
      <c r="D202" s="1124"/>
      <c r="E202" s="1124"/>
      <c r="F202" s="1124">
        <v>7</v>
      </c>
      <c r="G202" s="1124">
        <v>5</v>
      </c>
      <c r="H202" s="282">
        <f t="shared" si="10"/>
        <v>7</v>
      </c>
      <c r="I202" s="282">
        <f t="shared" si="10"/>
        <v>5</v>
      </c>
    </row>
    <row r="203" spans="2:9" ht="15" customHeight="1">
      <c r="B203" s="471" t="s">
        <v>2245</v>
      </c>
      <c r="C203" s="472" t="s">
        <v>2246</v>
      </c>
      <c r="D203" s="1124"/>
      <c r="E203" s="1124"/>
      <c r="F203" s="1124">
        <v>2</v>
      </c>
      <c r="G203" s="1335">
        <v>7</v>
      </c>
      <c r="H203" s="282">
        <f t="shared" si="10"/>
        <v>2</v>
      </c>
      <c r="I203" s="282">
        <f t="shared" si="10"/>
        <v>7</v>
      </c>
    </row>
    <row r="204" spans="2:9" ht="15" customHeight="1">
      <c r="B204" s="464" t="s">
        <v>2247</v>
      </c>
      <c r="C204" s="465" t="s">
        <v>2248</v>
      </c>
      <c r="D204" s="1124"/>
      <c r="E204" s="1124"/>
      <c r="F204" s="1124">
        <v>1</v>
      </c>
      <c r="G204" s="1124">
        <v>2</v>
      </c>
      <c r="H204" s="282">
        <f t="shared" si="10"/>
        <v>1</v>
      </c>
      <c r="I204" s="282">
        <f t="shared" si="10"/>
        <v>2</v>
      </c>
    </row>
    <row r="205" spans="2:9" ht="15" customHeight="1">
      <c r="B205" s="464" t="s">
        <v>2249</v>
      </c>
      <c r="C205" s="465" t="s">
        <v>2250</v>
      </c>
      <c r="D205" s="1124"/>
      <c r="E205" s="1124"/>
      <c r="F205" s="1124">
        <v>3</v>
      </c>
      <c r="G205" s="1124">
        <v>3</v>
      </c>
      <c r="H205" s="282">
        <f t="shared" si="10"/>
        <v>3</v>
      </c>
      <c r="I205" s="282">
        <f t="shared" si="10"/>
        <v>3</v>
      </c>
    </row>
    <row r="206" spans="2:9" ht="15" customHeight="1">
      <c r="B206" s="406" t="s">
        <v>2251</v>
      </c>
      <c r="C206" s="407" t="s">
        <v>2252</v>
      </c>
      <c r="D206" s="1124"/>
      <c r="E206" s="1124"/>
      <c r="F206" s="1124">
        <v>3</v>
      </c>
      <c r="G206" s="1124">
        <v>2</v>
      </c>
      <c r="H206" s="282">
        <f t="shared" si="10"/>
        <v>3</v>
      </c>
      <c r="I206" s="282">
        <f t="shared" si="10"/>
        <v>2</v>
      </c>
    </row>
    <row r="207" spans="2:9" ht="15" customHeight="1">
      <c r="B207" s="464" t="s">
        <v>2253</v>
      </c>
      <c r="C207" s="465" t="s">
        <v>2254</v>
      </c>
      <c r="D207" s="1124"/>
      <c r="E207" s="1124"/>
      <c r="F207" s="1124"/>
      <c r="G207" s="1124">
        <v>2</v>
      </c>
      <c r="H207" s="282">
        <f t="shared" si="10"/>
        <v>0</v>
      </c>
      <c r="I207" s="282">
        <f t="shared" si="10"/>
        <v>2</v>
      </c>
    </row>
    <row r="208" spans="2:9" ht="15" customHeight="1">
      <c r="B208" s="1267" t="s">
        <v>3994</v>
      </c>
      <c r="C208" s="1268" t="s">
        <v>3995</v>
      </c>
      <c r="D208" s="1265"/>
      <c r="E208" s="1265"/>
      <c r="F208" s="1269"/>
      <c r="G208" s="1269">
        <v>1</v>
      </c>
      <c r="H208" s="1266"/>
      <c r="I208" s="282">
        <f t="shared" si="10"/>
        <v>1</v>
      </c>
    </row>
    <row r="209" spans="2:9" ht="15" customHeight="1">
      <c r="B209" s="406" t="s">
        <v>2255</v>
      </c>
      <c r="C209" s="476" t="s">
        <v>2256</v>
      </c>
      <c r="D209" s="1124"/>
      <c r="E209" s="1124"/>
      <c r="F209" s="477">
        <v>2</v>
      </c>
      <c r="G209" s="477">
        <v>2</v>
      </c>
      <c r="H209" s="282">
        <f t="shared" si="10"/>
        <v>2</v>
      </c>
      <c r="I209" s="282">
        <f t="shared" si="10"/>
        <v>2</v>
      </c>
    </row>
    <row r="210" spans="2:9" ht="15" customHeight="1">
      <c r="B210" s="464" t="s">
        <v>2257</v>
      </c>
      <c r="C210" s="478" t="s">
        <v>2258</v>
      </c>
      <c r="D210" s="1124"/>
      <c r="E210" s="1124"/>
      <c r="F210" s="477"/>
      <c r="G210" s="477"/>
      <c r="H210" s="282">
        <f t="shared" si="10"/>
        <v>0</v>
      </c>
      <c r="I210" s="282">
        <f t="shared" si="10"/>
        <v>0</v>
      </c>
    </row>
    <row r="211" spans="2:9" ht="15" customHeight="1">
      <c r="B211" s="464" t="s">
        <v>2259</v>
      </c>
      <c r="C211" s="464" t="s">
        <v>2260</v>
      </c>
      <c r="D211" s="1124"/>
      <c r="E211" s="1124"/>
      <c r="F211" s="1124"/>
      <c r="G211" s="1124">
        <v>2</v>
      </c>
      <c r="H211" s="282">
        <f t="shared" si="10"/>
        <v>0</v>
      </c>
      <c r="I211" s="282">
        <f t="shared" si="10"/>
        <v>2</v>
      </c>
    </row>
    <row r="212" spans="2:9" ht="15" customHeight="1">
      <c r="B212" s="464" t="s">
        <v>2261</v>
      </c>
      <c r="C212" s="478" t="s">
        <v>2152</v>
      </c>
      <c r="D212" s="1124"/>
      <c r="E212" s="1124"/>
      <c r="F212" s="477"/>
      <c r="G212" s="477">
        <v>1</v>
      </c>
      <c r="H212" s="282">
        <f t="shared" si="10"/>
        <v>0</v>
      </c>
      <c r="I212" s="282">
        <f t="shared" si="10"/>
        <v>1</v>
      </c>
    </row>
    <row r="213" spans="2:9" ht="15" customHeight="1">
      <c r="B213" s="464" t="s">
        <v>2262</v>
      </c>
      <c r="C213" s="478" t="s">
        <v>2263</v>
      </c>
      <c r="D213" s="1124"/>
      <c r="E213" s="1124"/>
      <c r="F213" s="477"/>
      <c r="G213" s="477"/>
      <c r="H213" s="282">
        <f t="shared" si="10"/>
        <v>0</v>
      </c>
      <c r="I213" s="282">
        <f t="shared" si="10"/>
        <v>0</v>
      </c>
    </row>
    <row r="214" spans="2:9" ht="15" customHeight="1">
      <c r="B214" s="464" t="s">
        <v>2264</v>
      </c>
      <c r="C214" s="478" t="s">
        <v>2265</v>
      </c>
      <c r="D214" s="1124"/>
      <c r="E214" s="1124"/>
      <c r="F214" s="477">
        <v>17</v>
      </c>
      <c r="G214" s="1336">
        <v>25</v>
      </c>
      <c r="H214" s="282">
        <f t="shared" si="10"/>
        <v>17</v>
      </c>
      <c r="I214" s="282">
        <f t="shared" si="10"/>
        <v>25</v>
      </c>
    </row>
    <row r="215" spans="2:9" ht="15" customHeight="1">
      <c r="B215" s="406" t="s">
        <v>2266</v>
      </c>
      <c r="C215" s="476" t="s">
        <v>2267</v>
      </c>
      <c r="D215" s="1124"/>
      <c r="E215" s="1124"/>
      <c r="F215" s="477"/>
      <c r="G215" s="477"/>
      <c r="H215" s="282">
        <f t="shared" si="10"/>
        <v>0</v>
      </c>
      <c r="I215" s="282">
        <f t="shared" si="10"/>
        <v>0</v>
      </c>
    </row>
    <row r="216" spans="2:9" ht="19.5" customHeight="1">
      <c r="B216" s="464" t="s">
        <v>2268</v>
      </c>
      <c r="C216" s="478" t="s">
        <v>2269</v>
      </c>
      <c r="D216" s="1124"/>
      <c r="E216" s="1124"/>
      <c r="F216" s="477">
        <v>19</v>
      </c>
      <c r="G216" s="1336">
        <v>19</v>
      </c>
      <c r="H216" s="282">
        <f t="shared" si="10"/>
        <v>19</v>
      </c>
      <c r="I216" s="282">
        <f t="shared" si="10"/>
        <v>19</v>
      </c>
    </row>
    <row r="217" spans="2:9" ht="15" customHeight="1">
      <c r="B217" s="464" t="s">
        <v>2270</v>
      </c>
      <c r="C217" s="478" t="s">
        <v>2271</v>
      </c>
      <c r="D217" s="1124"/>
      <c r="E217" s="1124"/>
      <c r="F217" s="477">
        <v>2</v>
      </c>
      <c r="G217" s="477">
        <v>1</v>
      </c>
      <c r="H217" s="282">
        <f t="shared" si="10"/>
        <v>2</v>
      </c>
      <c r="I217" s="282">
        <f t="shared" si="10"/>
        <v>1</v>
      </c>
    </row>
    <row r="218" spans="2:9" ht="15" customHeight="1">
      <c r="B218" s="464" t="s">
        <v>2272</v>
      </c>
      <c r="C218" s="478" t="s">
        <v>2273</v>
      </c>
      <c r="D218" s="1124"/>
      <c r="E218" s="1124"/>
      <c r="F218" s="477"/>
      <c r="G218" s="477"/>
      <c r="H218" s="282">
        <f t="shared" si="10"/>
        <v>0</v>
      </c>
      <c r="I218" s="282">
        <f t="shared" si="10"/>
        <v>0</v>
      </c>
    </row>
    <row r="219" spans="2:9" ht="15" customHeight="1">
      <c r="B219" s="464" t="s">
        <v>2274</v>
      </c>
      <c r="C219" s="478" t="s">
        <v>2275</v>
      </c>
      <c r="D219" s="1124"/>
      <c r="E219" s="1124"/>
      <c r="F219" s="477"/>
      <c r="G219" s="477">
        <v>1</v>
      </c>
      <c r="H219" s="282">
        <f t="shared" si="10"/>
        <v>0</v>
      </c>
      <c r="I219" s="282">
        <f t="shared" si="10"/>
        <v>1</v>
      </c>
    </row>
    <row r="220" spans="2:9" ht="15" customHeight="1">
      <c r="B220" s="464" t="s">
        <v>2276</v>
      </c>
      <c r="C220" s="478" t="s">
        <v>2277</v>
      </c>
      <c r="D220" s="1124"/>
      <c r="E220" s="1124"/>
      <c r="F220" s="477">
        <v>2</v>
      </c>
      <c r="G220" s="477">
        <v>2</v>
      </c>
      <c r="H220" s="282">
        <f t="shared" si="10"/>
        <v>2</v>
      </c>
      <c r="I220" s="282">
        <f t="shared" si="10"/>
        <v>2</v>
      </c>
    </row>
    <row r="221" spans="2:9" ht="15" customHeight="1">
      <c r="B221" s="1333" t="s">
        <v>4096</v>
      </c>
      <c r="C221" s="1334" t="s">
        <v>4097</v>
      </c>
      <c r="D221" s="1335"/>
      <c r="E221" s="1335"/>
      <c r="F221" s="1336"/>
      <c r="G221" s="1336">
        <v>1</v>
      </c>
      <c r="H221" s="1329"/>
      <c r="I221" s="1329">
        <f t="shared" si="10"/>
        <v>1</v>
      </c>
    </row>
    <row r="222" spans="2:9" ht="15" customHeight="1">
      <c r="B222" s="1333" t="s">
        <v>4098</v>
      </c>
      <c r="C222" s="1333" t="s">
        <v>4099</v>
      </c>
      <c r="D222" s="1335"/>
      <c r="E222" s="1335"/>
      <c r="F222" s="1337"/>
      <c r="G222" s="1335">
        <v>1</v>
      </c>
      <c r="H222" s="1329"/>
      <c r="I222" s="1329">
        <f t="shared" si="10"/>
        <v>1</v>
      </c>
    </row>
    <row r="223" spans="2:9" ht="15" customHeight="1">
      <c r="B223" s="1333" t="s">
        <v>4100</v>
      </c>
      <c r="C223" s="1333" t="s">
        <v>4101</v>
      </c>
      <c r="D223" s="1335"/>
      <c r="E223" s="1335"/>
      <c r="F223" s="1335"/>
      <c r="G223" s="1335">
        <v>1</v>
      </c>
      <c r="H223" s="1329"/>
      <c r="I223" s="1329">
        <f t="shared" si="10"/>
        <v>1</v>
      </c>
    </row>
    <row r="224" spans="2:9" ht="15" customHeight="1">
      <c r="B224" s="1333" t="s">
        <v>4102</v>
      </c>
      <c r="C224" s="1333" t="s">
        <v>4103</v>
      </c>
      <c r="D224" s="1335"/>
      <c r="E224" s="1335"/>
      <c r="F224" s="1335"/>
      <c r="G224" s="1335">
        <v>1</v>
      </c>
      <c r="H224" s="1329"/>
      <c r="I224" s="1329">
        <f t="shared" si="10"/>
        <v>1</v>
      </c>
    </row>
    <row r="225" spans="2:9" ht="15" customHeight="1">
      <c r="B225" s="1333" t="s">
        <v>4104</v>
      </c>
      <c r="C225" s="1333" t="s">
        <v>4105</v>
      </c>
      <c r="D225" s="1335"/>
      <c r="E225" s="1335"/>
      <c r="F225" s="1335"/>
      <c r="G225" s="1335">
        <v>1</v>
      </c>
      <c r="H225" s="1329"/>
      <c r="I225" s="1329">
        <f t="shared" si="10"/>
        <v>1</v>
      </c>
    </row>
    <row r="226" spans="2:9" ht="15" customHeight="1">
      <c r="B226" s="1333" t="s">
        <v>2522</v>
      </c>
      <c r="C226" s="1333" t="s">
        <v>4106</v>
      </c>
      <c r="D226" s="1335"/>
      <c r="E226" s="1335"/>
      <c r="F226" s="1335"/>
      <c r="G226" s="1335">
        <v>2</v>
      </c>
      <c r="H226" s="1329"/>
      <c r="I226" s="1329">
        <f t="shared" si="10"/>
        <v>2</v>
      </c>
    </row>
    <row r="227" spans="2:9" ht="15" customHeight="1">
      <c r="B227" s="1333" t="s">
        <v>4107</v>
      </c>
      <c r="C227" s="1338" t="s">
        <v>4108</v>
      </c>
      <c r="D227" s="1335"/>
      <c r="E227" s="1335"/>
      <c r="F227" s="1339"/>
      <c r="G227" s="1340">
        <v>1</v>
      </c>
      <c r="H227" s="1339"/>
      <c r="I227" s="1329">
        <f t="shared" si="10"/>
        <v>1</v>
      </c>
    </row>
    <row r="228" spans="2:9" ht="15" customHeight="1">
      <c r="B228" s="444" t="s">
        <v>2</v>
      </c>
      <c r="C228" s="479"/>
      <c r="D228" s="423">
        <f>SUM(D145:D227)</f>
        <v>0</v>
      </c>
      <c r="E228" s="423">
        <f>SUM(E145:E227)</f>
        <v>0</v>
      </c>
      <c r="F228" s="423">
        <f>SUM(F145:F227)</f>
        <v>342</v>
      </c>
      <c r="G228" s="423">
        <f>SUM(G145:G227)</f>
        <v>442</v>
      </c>
      <c r="H228" s="424">
        <f t="shared" si="10"/>
        <v>342</v>
      </c>
      <c r="I228" s="1683">
        <f>SUM(I145:I227)</f>
        <v>442</v>
      </c>
    </row>
    <row r="229" spans="2:9" ht="15" customHeight="1">
      <c r="B229" s="480"/>
      <c r="C229" s="481" t="s">
        <v>2278</v>
      </c>
      <c r="D229" s="440"/>
      <c r="E229" s="440"/>
      <c r="F229" s="440"/>
      <c r="G229" s="440"/>
      <c r="H229" s="440"/>
      <c r="I229" s="440"/>
    </row>
    <row r="230" spans="2:9" ht="15" customHeight="1">
      <c r="B230" s="406" t="s">
        <v>2021</v>
      </c>
      <c r="C230" s="407" t="s">
        <v>2142</v>
      </c>
      <c r="D230" s="1229">
        <v>66</v>
      </c>
      <c r="E230" s="1229">
        <v>66</v>
      </c>
      <c r="F230" s="1229">
        <v>42</v>
      </c>
      <c r="G230" s="1229">
        <v>45</v>
      </c>
      <c r="H230" s="282">
        <f>D230+F230</f>
        <v>108</v>
      </c>
      <c r="I230" s="282">
        <f>E230+G230</f>
        <v>111</v>
      </c>
    </row>
    <row r="231" spans="2:9" ht="15" customHeight="1">
      <c r="B231" s="464" t="s">
        <v>2279</v>
      </c>
      <c r="C231" s="465" t="s">
        <v>2280</v>
      </c>
      <c r="D231" s="1124">
        <v>611</v>
      </c>
      <c r="E231" s="1124">
        <v>612</v>
      </c>
      <c r="F231" s="1124">
        <v>6</v>
      </c>
      <c r="G231" s="1124">
        <v>6</v>
      </c>
      <c r="H231" s="282">
        <f t="shared" ref="H231:I246" si="11">D231+F231</f>
        <v>617</v>
      </c>
      <c r="I231" s="282">
        <f t="shared" si="11"/>
        <v>618</v>
      </c>
    </row>
    <row r="232" spans="2:9" ht="15" customHeight="1">
      <c r="B232" s="482" t="s">
        <v>2281</v>
      </c>
      <c r="C232" s="483" t="s">
        <v>2282</v>
      </c>
      <c r="D232" s="1124"/>
      <c r="E232" s="1124">
        <v>1</v>
      </c>
      <c r="F232" s="1124"/>
      <c r="G232" s="1124"/>
      <c r="H232" s="282">
        <f t="shared" si="11"/>
        <v>0</v>
      </c>
      <c r="I232" s="282">
        <f t="shared" si="11"/>
        <v>1</v>
      </c>
    </row>
    <row r="233" spans="2:9" ht="15" customHeight="1">
      <c r="B233" s="464" t="s">
        <v>2283</v>
      </c>
      <c r="C233" s="484" t="s">
        <v>2284</v>
      </c>
      <c r="D233" s="1124">
        <v>8</v>
      </c>
      <c r="E233" s="1124">
        <v>5</v>
      </c>
      <c r="F233" s="1124"/>
      <c r="G233" s="1124">
        <v>2</v>
      </c>
      <c r="H233" s="282">
        <f t="shared" si="11"/>
        <v>8</v>
      </c>
      <c r="I233" s="282">
        <f t="shared" si="11"/>
        <v>7</v>
      </c>
    </row>
    <row r="234" spans="2:9" ht="15" customHeight="1">
      <c r="B234" s="474" t="s">
        <v>1911</v>
      </c>
      <c r="C234" s="484" t="s">
        <v>2285</v>
      </c>
      <c r="D234" s="1124">
        <v>1</v>
      </c>
      <c r="E234" s="1124">
        <v>1</v>
      </c>
      <c r="F234" s="1124"/>
      <c r="G234" s="1124"/>
      <c r="H234" s="282">
        <f t="shared" si="11"/>
        <v>1</v>
      </c>
      <c r="I234" s="282">
        <f t="shared" si="11"/>
        <v>1</v>
      </c>
    </row>
    <row r="235" spans="2:9" ht="15" customHeight="1">
      <c r="B235" s="406" t="s">
        <v>2286</v>
      </c>
      <c r="C235" s="485" t="s">
        <v>2287</v>
      </c>
      <c r="D235" s="1124"/>
      <c r="E235" s="1124">
        <v>2</v>
      </c>
      <c r="F235" s="1124"/>
      <c r="G235" s="1124"/>
      <c r="H235" s="282">
        <f t="shared" si="11"/>
        <v>0</v>
      </c>
      <c r="I235" s="282">
        <f t="shared" si="11"/>
        <v>2</v>
      </c>
    </row>
    <row r="236" spans="2:9" ht="15" customHeight="1">
      <c r="B236" s="406" t="s">
        <v>2288</v>
      </c>
      <c r="C236" s="485" t="s">
        <v>2289</v>
      </c>
      <c r="D236" s="1124"/>
      <c r="E236" s="1124">
        <v>2</v>
      </c>
      <c r="F236" s="1124"/>
      <c r="G236" s="1124"/>
      <c r="H236" s="282">
        <f t="shared" si="11"/>
        <v>0</v>
      </c>
      <c r="I236" s="282">
        <f t="shared" si="11"/>
        <v>2</v>
      </c>
    </row>
    <row r="237" spans="2:9" ht="15" customHeight="1">
      <c r="B237" s="1089" t="s">
        <v>2290</v>
      </c>
      <c r="C237" s="485" t="s">
        <v>2291</v>
      </c>
      <c r="D237" s="1124">
        <v>22</v>
      </c>
      <c r="E237" s="1124">
        <v>22</v>
      </c>
      <c r="F237" s="1124"/>
      <c r="G237" s="1124"/>
      <c r="H237" s="282">
        <f t="shared" si="11"/>
        <v>22</v>
      </c>
      <c r="I237" s="282">
        <f t="shared" si="11"/>
        <v>22</v>
      </c>
    </row>
    <row r="238" spans="2:9" ht="15" customHeight="1">
      <c r="B238" s="406" t="s">
        <v>2292</v>
      </c>
      <c r="C238" s="485" t="s">
        <v>2293</v>
      </c>
      <c r="D238" s="1124"/>
      <c r="E238" s="1124"/>
      <c r="F238" s="1124"/>
      <c r="G238" s="1124"/>
      <c r="H238" s="282">
        <f t="shared" si="11"/>
        <v>0</v>
      </c>
      <c r="I238" s="282">
        <f t="shared" si="11"/>
        <v>0</v>
      </c>
    </row>
    <row r="239" spans="2:9" ht="15" customHeight="1">
      <c r="B239" s="464" t="s">
        <v>2294</v>
      </c>
      <c r="C239" s="484" t="s">
        <v>2295</v>
      </c>
      <c r="D239" s="1124">
        <v>4</v>
      </c>
      <c r="E239" s="1124">
        <v>2</v>
      </c>
      <c r="F239" s="1124"/>
      <c r="G239" s="1124">
        <v>2</v>
      </c>
      <c r="H239" s="282">
        <f t="shared" si="11"/>
        <v>4</v>
      </c>
      <c r="I239" s="282">
        <f t="shared" si="11"/>
        <v>4</v>
      </c>
    </row>
    <row r="240" spans="2:9" ht="15" customHeight="1">
      <c r="B240" s="464" t="s">
        <v>2296</v>
      </c>
      <c r="C240" s="484" t="s">
        <v>2297</v>
      </c>
      <c r="D240" s="1124">
        <v>49</v>
      </c>
      <c r="E240" s="1124">
        <v>50</v>
      </c>
      <c r="F240" s="1124"/>
      <c r="G240" s="1124">
        <v>2</v>
      </c>
      <c r="H240" s="282">
        <f t="shared" si="11"/>
        <v>49</v>
      </c>
      <c r="I240" s="282">
        <f t="shared" si="11"/>
        <v>52</v>
      </c>
    </row>
    <row r="241" spans="2:9" ht="15" customHeight="1">
      <c r="B241" s="406" t="s">
        <v>2298</v>
      </c>
      <c r="C241" s="485" t="s">
        <v>2299</v>
      </c>
      <c r="D241" s="1124">
        <v>1</v>
      </c>
      <c r="E241" s="1124">
        <v>1</v>
      </c>
      <c r="F241" s="1124"/>
      <c r="G241" s="1124"/>
      <c r="H241" s="282">
        <f t="shared" si="11"/>
        <v>1</v>
      </c>
      <c r="I241" s="282">
        <f t="shared" si="11"/>
        <v>1</v>
      </c>
    </row>
    <row r="242" spans="2:9" ht="15" customHeight="1">
      <c r="B242" s="464" t="s">
        <v>2300</v>
      </c>
      <c r="C242" s="484" t="s">
        <v>2301</v>
      </c>
      <c r="D242" s="1124">
        <v>175</v>
      </c>
      <c r="E242" s="1124">
        <v>175</v>
      </c>
      <c r="F242" s="1124"/>
      <c r="G242" s="1124"/>
      <c r="H242" s="282">
        <f t="shared" si="11"/>
        <v>175</v>
      </c>
      <c r="I242" s="282">
        <f t="shared" si="11"/>
        <v>175</v>
      </c>
    </row>
    <row r="243" spans="2:9" ht="15" customHeight="1">
      <c r="B243" s="406" t="s">
        <v>2302</v>
      </c>
      <c r="C243" s="485" t="s">
        <v>2303</v>
      </c>
      <c r="D243" s="1124"/>
      <c r="E243" s="1124"/>
      <c r="F243" s="1124"/>
      <c r="G243" s="1124"/>
      <c r="H243" s="282">
        <f t="shared" si="11"/>
        <v>0</v>
      </c>
      <c r="I243" s="282">
        <f t="shared" si="11"/>
        <v>0</v>
      </c>
    </row>
    <row r="244" spans="2:9" ht="15" customHeight="1">
      <c r="B244" s="406" t="s">
        <v>2304</v>
      </c>
      <c r="C244" s="485" t="s">
        <v>2305</v>
      </c>
      <c r="D244" s="1124">
        <v>2</v>
      </c>
      <c r="E244" s="1124">
        <v>2</v>
      </c>
      <c r="F244" s="1124"/>
      <c r="G244" s="1124"/>
      <c r="H244" s="282">
        <f t="shared" si="11"/>
        <v>2</v>
      </c>
      <c r="I244" s="282">
        <f t="shared" si="11"/>
        <v>2</v>
      </c>
    </row>
    <row r="245" spans="2:9" ht="15" customHeight="1">
      <c r="B245" s="474" t="s">
        <v>2306</v>
      </c>
      <c r="C245" s="484" t="s">
        <v>2307</v>
      </c>
      <c r="D245" s="1124">
        <v>1</v>
      </c>
      <c r="E245" s="1124">
        <v>2</v>
      </c>
      <c r="F245" s="1124"/>
      <c r="G245" s="1124"/>
      <c r="H245" s="282">
        <f t="shared" si="11"/>
        <v>1</v>
      </c>
      <c r="I245" s="282">
        <f t="shared" si="11"/>
        <v>2</v>
      </c>
    </row>
    <row r="246" spans="2:9" ht="15" customHeight="1">
      <c r="B246" s="406" t="s">
        <v>2308</v>
      </c>
      <c r="C246" s="485" t="s">
        <v>2309</v>
      </c>
      <c r="D246" s="1124">
        <v>1</v>
      </c>
      <c r="E246" s="1124">
        <v>2</v>
      </c>
      <c r="F246" s="1124"/>
      <c r="G246" s="1124"/>
      <c r="H246" s="282">
        <f t="shared" si="11"/>
        <v>1</v>
      </c>
      <c r="I246" s="282">
        <f t="shared" si="11"/>
        <v>2</v>
      </c>
    </row>
    <row r="247" spans="2:9" ht="15" customHeight="1">
      <c r="B247" s="1089" t="s">
        <v>2310</v>
      </c>
      <c r="C247" s="485" t="s">
        <v>2311</v>
      </c>
      <c r="D247" s="1124">
        <v>2</v>
      </c>
      <c r="E247" s="1124">
        <v>2</v>
      </c>
      <c r="F247" s="1124"/>
      <c r="G247" s="1124"/>
      <c r="H247" s="282">
        <f t="shared" ref="H247:I264" si="12">D247+F247</f>
        <v>2</v>
      </c>
      <c r="I247" s="282">
        <f t="shared" si="12"/>
        <v>2</v>
      </c>
    </row>
    <row r="248" spans="2:9" ht="15" customHeight="1">
      <c r="B248" s="464" t="s">
        <v>2312</v>
      </c>
      <c r="C248" s="484" t="s">
        <v>2313</v>
      </c>
      <c r="D248" s="1124">
        <v>2</v>
      </c>
      <c r="E248" s="1124">
        <v>2</v>
      </c>
      <c r="F248" s="1124"/>
      <c r="G248" s="1124"/>
      <c r="H248" s="282">
        <f t="shared" si="12"/>
        <v>2</v>
      </c>
      <c r="I248" s="282">
        <f t="shared" si="12"/>
        <v>2</v>
      </c>
    </row>
    <row r="249" spans="2:9" ht="15" customHeight="1">
      <c r="B249" s="406" t="s">
        <v>2314</v>
      </c>
      <c r="C249" s="485" t="s">
        <v>2315</v>
      </c>
      <c r="D249" s="1124"/>
      <c r="E249" s="1124">
        <v>2</v>
      </c>
      <c r="F249" s="1124"/>
      <c r="G249" s="1124">
        <v>1</v>
      </c>
      <c r="H249" s="282">
        <f t="shared" si="12"/>
        <v>0</v>
      </c>
      <c r="I249" s="282">
        <f t="shared" si="12"/>
        <v>3</v>
      </c>
    </row>
    <row r="250" spans="2:9" ht="15" customHeight="1">
      <c r="B250" s="406" t="s">
        <v>2316</v>
      </c>
      <c r="C250" s="485" t="s">
        <v>2317</v>
      </c>
      <c r="D250" s="1124"/>
      <c r="E250" s="1124">
        <v>1</v>
      </c>
      <c r="F250" s="1124"/>
      <c r="G250" s="1124"/>
      <c r="H250" s="282">
        <f t="shared" si="12"/>
        <v>0</v>
      </c>
      <c r="I250" s="282">
        <f t="shared" si="12"/>
        <v>1</v>
      </c>
    </row>
    <row r="251" spans="2:9" ht="15" customHeight="1">
      <c r="B251" s="1089" t="s">
        <v>2318</v>
      </c>
      <c r="C251" s="485" t="s">
        <v>2319</v>
      </c>
      <c r="D251" s="1124">
        <v>3</v>
      </c>
      <c r="E251" s="1124">
        <v>2</v>
      </c>
      <c r="F251" s="1124"/>
      <c r="G251" s="1124"/>
      <c r="H251" s="282">
        <f t="shared" si="12"/>
        <v>3</v>
      </c>
      <c r="I251" s="282">
        <f t="shared" si="12"/>
        <v>2</v>
      </c>
    </row>
    <row r="252" spans="2:9" ht="15" customHeight="1">
      <c r="B252" s="406" t="s">
        <v>2320</v>
      </c>
      <c r="C252" s="485" t="s">
        <v>2321</v>
      </c>
      <c r="D252" s="1124"/>
      <c r="E252" s="1124"/>
      <c r="F252" s="1124"/>
      <c r="G252" s="1124">
        <v>2</v>
      </c>
      <c r="H252" s="282">
        <f t="shared" si="12"/>
        <v>0</v>
      </c>
      <c r="I252" s="282">
        <f t="shared" si="12"/>
        <v>2</v>
      </c>
    </row>
    <row r="253" spans="2:9" ht="15" customHeight="1">
      <c r="B253" s="406" t="s">
        <v>2322</v>
      </c>
      <c r="C253" s="485" t="s">
        <v>2323</v>
      </c>
      <c r="D253" s="1124">
        <v>104</v>
      </c>
      <c r="E253" s="1124">
        <v>105</v>
      </c>
      <c r="F253" s="1124"/>
      <c r="G253" s="1124"/>
      <c r="H253" s="282">
        <f t="shared" si="12"/>
        <v>104</v>
      </c>
      <c r="I253" s="282">
        <f t="shared" si="12"/>
        <v>105</v>
      </c>
    </row>
    <row r="254" spans="2:9" ht="15" customHeight="1">
      <c r="B254" s="406" t="s">
        <v>2324</v>
      </c>
      <c r="C254" s="486" t="s">
        <v>2325</v>
      </c>
      <c r="D254" s="1124">
        <v>16</v>
      </c>
      <c r="E254" s="1124">
        <v>15</v>
      </c>
      <c r="F254" s="1124"/>
      <c r="G254" s="1124"/>
      <c r="H254" s="282">
        <f t="shared" si="12"/>
        <v>16</v>
      </c>
      <c r="I254" s="282">
        <f t="shared" si="12"/>
        <v>15</v>
      </c>
    </row>
    <row r="255" spans="2:9" ht="15" customHeight="1">
      <c r="B255" s="464" t="s">
        <v>2326</v>
      </c>
      <c r="C255" s="487" t="s">
        <v>2327</v>
      </c>
      <c r="D255" s="1124">
        <v>33</v>
      </c>
      <c r="E255" s="1124">
        <v>33</v>
      </c>
      <c r="F255" s="1124"/>
      <c r="G255" s="1124"/>
      <c r="H255" s="282">
        <f t="shared" si="12"/>
        <v>33</v>
      </c>
      <c r="I255" s="282">
        <f t="shared" si="12"/>
        <v>33</v>
      </c>
    </row>
    <row r="256" spans="2:9" ht="15" customHeight="1">
      <c r="B256" s="464" t="s">
        <v>2328</v>
      </c>
      <c r="C256" s="488" t="s">
        <v>2329</v>
      </c>
      <c r="D256" s="1124">
        <v>4</v>
      </c>
      <c r="E256" s="1124">
        <v>5</v>
      </c>
      <c r="F256" s="1124"/>
      <c r="G256" s="1124"/>
      <c r="H256" s="282">
        <f t="shared" si="12"/>
        <v>4</v>
      </c>
      <c r="I256" s="282">
        <f t="shared" si="12"/>
        <v>5</v>
      </c>
    </row>
    <row r="257" spans="2:9" ht="15" customHeight="1">
      <c r="B257" s="406" t="s">
        <v>2330</v>
      </c>
      <c r="C257" s="407" t="s">
        <v>2331</v>
      </c>
      <c r="D257" s="1124">
        <v>1</v>
      </c>
      <c r="E257" s="1124">
        <v>1</v>
      </c>
      <c r="F257" s="1124"/>
      <c r="G257" s="1124"/>
      <c r="H257" s="282">
        <f t="shared" si="12"/>
        <v>1</v>
      </c>
      <c r="I257" s="282">
        <f t="shared" si="12"/>
        <v>1</v>
      </c>
    </row>
    <row r="258" spans="2:9" ht="15" customHeight="1">
      <c r="B258" s="406" t="s">
        <v>2332</v>
      </c>
      <c r="C258" s="407" t="s">
        <v>2333</v>
      </c>
      <c r="D258" s="1124">
        <v>1</v>
      </c>
      <c r="E258" s="1124">
        <v>5</v>
      </c>
      <c r="F258" s="1124"/>
      <c r="G258" s="1124"/>
      <c r="H258" s="282">
        <f t="shared" si="12"/>
        <v>1</v>
      </c>
      <c r="I258" s="282">
        <f t="shared" si="12"/>
        <v>5</v>
      </c>
    </row>
    <row r="259" spans="2:9" ht="15" customHeight="1">
      <c r="B259" s="406" t="s">
        <v>2334</v>
      </c>
      <c r="C259" s="407" t="s">
        <v>2335</v>
      </c>
      <c r="D259" s="1124"/>
      <c r="E259" s="1124">
        <v>2</v>
      </c>
      <c r="F259" s="1124"/>
      <c r="G259" s="1124"/>
      <c r="H259" s="282">
        <f t="shared" si="12"/>
        <v>0</v>
      </c>
      <c r="I259" s="282">
        <f t="shared" si="12"/>
        <v>2</v>
      </c>
    </row>
    <row r="260" spans="2:9" ht="15" customHeight="1">
      <c r="B260" s="406" t="s">
        <v>2336</v>
      </c>
      <c r="C260" s="407" t="s">
        <v>2337</v>
      </c>
      <c r="D260" s="1124"/>
      <c r="E260" s="1124">
        <v>1</v>
      </c>
      <c r="F260" s="1124"/>
      <c r="G260" s="1124"/>
      <c r="H260" s="282">
        <f t="shared" si="12"/>
        <v>0</v>
      </c>
      <c r="I260" s="282">
        <f t="shared" si="12"/>
        <v>1</v>
      </c>
    </row>
    <row r="261" spans="2:9" ht="15" customHeight="1">
      <c r="B261" s="406" t="s">
        <v>2338</v>
      </c>
      <c r="C261" s="407" t="s">
        <v>2339</v>
      </c>
      <c r="D261" s="1124"/>
      <c r="E261" s="1124">
        <v>1</v>
      </c>
      <c r="F261" s="1124"/>
      <c r="G261" s="1124"/>
      <c r="H261" s="282">
        <f t="shared" si="12"/>
        <v>0</v>
      </c>
      <c r="I261" s="282">
        <f t="shared" si="12"/>
        <v>1</v>
      </c>
    </row>
    <row r="262" spans="2:9" ht="15" customHeight="1">
      <c r="B262" s="406" t="s">
        <v>2048</v>
      </c>
      <c r="C262" s="407" t="s">
        <v>2049</v>
      </c>
      <c r="D262" s="1124"/>
      <c r="E262" s="1124">
        <v>10</v>
      </c>
      <c r="F262" s="1124">
        <v>115</v>
      </c>
      <c r="G262" s="1124">
        <v>120</v>
      </c>
      <c r="H262" s="282">
        <f t="shared" si="12"/>
        <v>115</v>
      </c>
      <c r="I262" s="282">
        <f t="shared" si="12"/>
        <v>130</v>
      </c>
    </row>
    <row r="263" spans="2:9" ht="15" customHeight="1">
      <c r="B263" s="406" t="s">
        <v>2078</v>
      </c>
      <c r="C263" s="407" t="s">
        <v>2340</v>
      </c>
      <c r="D263" s="1124">
        <v>641</v>
      </c>
      <c r="E263" s="1124">
        <v>650</v>
      </c>
      <c r="F263" s="1124">
        <v>157</v>
      </c>
      <c r="G263" s="1124">
        <v>160</v>
      </c>
      <c r="H263" s="282">
        <f t="shared" si="12"/>
        <v>798</v>
      </c>
      <c r="I263" s="282">
        <f t="shared" si="12"/>
        <v>810</v>
      </c>
    </row>
    <row r="264" spans="2:9" ht="15" customHeight="1">
      <c r="B264" s="444" t="s">
        <v>2</v>
      </c>
      <c r="C264" s="479"/>
      <c r="D264" s="423">
        <f>SUM(D230:D263)</f>
        <v>1748</v>
      </c>
      <c r="E264" s="423">
        <f>SUM(E230:E263)</f>
        <v>1782</v>
      </c>
      <c r="F264" s="423">
        <f>SUM(F230:F263)</f>
        <v>320</v>
      </c>
      <c r="G264" s="423">
        <f>SUM(G230:G263)</f>
        <v>340</v>
      </c>
      <c r="H264" s="424">
        <f t="shared" si="12"/>
        <v>2068</v>
      </c>
      <c r="I264" s="424">
        <f t="shared" si="12"/>
        <v>2122</v>
      </c>
    </row>
    <row r="265" spans="2:9" ht="15" customHeight="1">
      <c r="B265" s="438"/>
      <c r="C265" s="489" t="s">
        <v>2341</v>
      </c>
      <c r="D265" s="440"/>
      <c r="E265" s="440"/>
      <c r="F265" s="440"/>
      <c r="G265" s="440"/>
      <c r="H265" s="440"/>
      <c r="I265" s="440"/>
    </row>
    <row r="266" spans="2:9" ht="15" customHeight="1">
      <c r="B266" s="406" t="s">
        <v>2342</v>
      </c>
      <c r="C266" s="407" t="s">
        <v>2343</v>
      </c>
      <c r="D266" s="1090"/>
      <c r="E266" s="1090"/>
      <c r="F266" s="1124">
        <v>311</v>
      </c>
      <c r="G266" s="1124">
        <v>300</v>
      </c>
      <c r="H266" s="282">
        <f t="shared" ref="H266:I306" si="13">D266+F266</f>
        <v>311</v>
      </c>
      <c r="I266" s="282">
        <f t="shared" si="13"/>
        <v>300</v>
      </c>
    </row>
    <row r="267" spans="2:9" ht="15" customHeight="1">
      <c r="B267" s="441">
        <v>260007</v>
      </c>
      <c r="C267" s="490" t="s">
        <v>2053</v>
      </c>
      <c r="D267" s="1124"/>
      <c r="E267" s="1124"/>
      <c r="F267" s="1124"/>
      <c r="G267" s="1124">
        <v>2</v>
      </c>
      <c r="H267" s="282">
        <f t="shared" si="13"/>
        <v>0</v>
      </c>
      <c r="I267" s="282">
        <f t="shared" si="13"/>
        <v>2</v>
      </c>
    </row>
    <row r="268" spans="2:9" ht="15" customHeight="1">
      <c r="B268" s="406" t="s">
        <v>2344</v>
      </c>
      <c r="C268" s="1088" t="s">
        <v>2345</v>
      </c>
      <c r="D268" s="1124">
        <v>24</v>
      </c>
      <c r="E268" s="1124">
        <v>20</v>
      </c>
      <c r="F268" s="1124"/>
      <c r="G268" s="1124">
        <v>2</v>
      </c>
      <c r="H268" s="282">
        <f t="shared" si="13"/>
        <v>24</v>
      </c>
      <c r="I268" s="282">
        <f t="shared" si="13"/>
        <v>22</v>
      </c>
    </row>
    <row r="269" spans="2:9" ht="15" customHeight="1">
      <c r="B269" s="406" t="s">
        <v>2346</v>
      </c>
      <c r="C269" s="1088" t="s">
        <v>2347</v>
      </c>
      <c r="D269" s="1124"/>
      <c r="E269" s="1124">
        <v>2</v>
      </c>
      <c r="F269" s="1124"/>
      <c r="G269" s="1124">
        <v>2</v>
      </c>
      <c r="H269" s="282">
        <f t="shared" si="13"/>
        <v>0</v>
      </c>
      <c r="I269" s="282">
        <f t="shared" si="13"/>
        <v>4</v>
      </c>
    </row>
    <row r="270" spans="2:9" ht="15" customHeight="1">
      <c r="B270" s="406" t="s">
        <v>2348</v>
      </c>
      <c r="C270" s="1088" t="s">
        <v>2349</v>
      </c>
      <c r="D270" s="1124"/>
      <c r="E270" s="1124"/>
      <c r="F270" s="1124"/>
      <c r="G270" s="1124"/>
      <c r="H270" s="282">
        <f t="shared" si="13"/>
        <v>0</v>
      </c>
      <c r="I270" s="282">
        <f t="shared" si="13"/>
        <v>0</v>
      </c>
    </row>
    <row r="271" spans="2:9" ht="15" customHeight="1">
      <c r="B271" s="1089" t="s">
        <v>2054</v>
      </c>
      <c r="C271" s="443" t="s">
        <v>2055</v>
      </c>
      <c r="D271" s="1124">
        <v>13704</v>
      </c>
      <c r="E271" s="1124">
        <v>13700</v>
      </c>
      <c r="F271" s="1124">
        <v>3312</v>
      </c>
      <c r="G271" s="1124">
        <v>3300</v>
      </c>
      <c r="H271" s="282">
        <f t="shared" si="13"/>
        <v>17016</v>
      </c>
      <c r="I271" s="282">
        <f t="shared" si="13"/>
        <v>17000</v>
      </c>
    </row>
    <row r="272" spans="2:9" ht="15" customHeight="1">
      <c r="B272" s="406" t="s">
        <v>2056</v>
      </c>
      <c r="C272" s="1088" t="s">
        <v>2057</v>
      </c>
      <c r="D272" s="1124">
        <v>242</v>
      </c>
      <c r="E272" s="1124">
        <v>240</v>
      </c>
      <c r="F272" s="1124">
        <v>260</v>
      </c>
      <c r="G272" s="1124">
        <v>260</v>
      </c>
      <c r="H272" s="282">
        <f t="shared" si="13"/>
        <v>502</v>
      </c>
      <c r="I272" s="282">
        <f t="shared" si="13"/>
        <v>500</v>
      </c>
    </row>
    <row r="273" spans="2:9" ht="15" customHeight="1">
      <c r="B273" s="1089" t="s">
        <v>2060</v>
      </c>
      <c r="C273" s="1088" t="s">
        <v>2350</v>
      </c>
      <c r="D273" s="1124"/>
      <c r="E273" s="1124">
        <v>10</v>
      </c>
      <c r="F273" s="1124">
        <v>233</v>
      </c>
      <c r="G273" s="1124">
        <v>200</v>
      </c>
      <c r="H273" s="282">
        <f t="shared" si="13"/>
        <v>233</v>
      </c>
      <c r="I273" s="282">
        <f t="shared" si="13"/>
        <v>210</v>
      </c>
    </row>
    <row r="274" spans="2:9" ht="15" customHeight="1">
      <c r="B274" s="406" t="s">
        <v>2351</v>
      </c>
      <c r="C274" s="1088" t="s">
        <v>2352</v>
      </c>
      <c r="D274" s="1124"/>
      <c r="E274" s="1124"/>
      <c r="F274" s="1124"/>
      <c r="G274" s="1124"/>
      <c r="H274" s="1123">
        <f t="shared" si="13"/>
        <v>0</v>
      </c>
      <c r="I274" s="1123">
        <f t="shared" si="13"/>
        <v>0</v>
      </c>
    </row>
    <row r="275" spans="2:9" ht="15" customHeight="1">
      <c r="B275" s="406" t="s">
        <v>2065</v>
      </c>
      <c r="C275" s="1088" t="s">
        <v>2066</v>
      </c>
      <c r="D275" s="1124"/>
      <c r="E275" s="1124"/>
      <c r="F275" s="1124">
        <v>109</v>
      </c>
      <c r="G275" s="1124">
        <v>110</v>
      </c>
      <c r="H275" s="282">
        <f t="shared" si="13"/>
        <v>109</v>
      </c>
      <c r="I275" s="282">
        <f t="shared" si="13"/>
        <v>110</v>
      </c>
    </row>
    <row r="276" spans="2:9" ht="15" customHeight="1">
      <c r="B276" s="406" t="s">
        <v>2067</v>
      </c>
      <c r="C276" s="1088" t="s">
        <v>2068</v>
      </c>
      <c r="D276" s="1124"/>
      <c r="E276" s="1124"/>
      <c r="F276" s="1124">
        <v>24</v>
      </c>
      <c r="G276" s="1124">
        <v>20</v>
      </c>
      <c r="H276" s="282">
        <f t="shared" si="13"/>
        <v>24</v>
      </c>
      <c r="I276" s="282">
        <f t="shared" si="13"/>
        <v>20</v>
      </c>
    </row>
    <row r="277" spans="2:9" ht="15" customHeight="1">
      <c r="B277" s="406" t="s">
        <v>2069</v>
      </c>
      <c r="C277" s="1088" t="s">
        <v>2070</v>
      </c>
      <c r="D277" s="1124"/>
      <c r="E277" s="1124"/>
      <c r="F277" s="1124">
        <v>143</v>
      </c>
      <c r="G277" s="1124">
        <v>140</v>
      </c>
      <c r="H277" s="282">
        <f t="shared" si="13"/>
        <v>143</v>
      </c>
      <c r="I277" s="282">
        <f t="shared" si="13"/>
        <v>140</v>
      </c>
    </row>
    <row r="278" spans="2:9" ht="15" customHeight="1">
      <c r="B278" s="406" t="s">
        <v>2073</v>
      </c>
      <c r="C278" s="1088" t="s">
        <v>2074</v>
      </c>
      <c r="D278" s="1124"/>
      <c r="E278" s="1124"/>
      <c r="F278" s="1124">
        <v>7</v>
      </c>
      <c r="G278" s="1124">
        <v>5</v>
      </c>
      <c r="H278" s="282">
        <f t="shared" si="13"/>
        <v>7</v>
      </c>
      <c r="I278" s="282">
        <f t="shared" si="13"/>
        <v>5</v>
      </c>
    </row>
    <row r="279" spans="2:9" ht="15" customHeight="1">
      <c r="B279" s="1260" t="s">
        <v>3996</v>
      </c>
      <c r="C279" s="1264" t="s">
        <v>3257</v>
      </c>
      <c r="D279" s="1265"/>
      <c r="E279" s="1265"/>
      <c r="F279" s="1265"/>
      <c r="G279" s="1265">
        <v>2</v>
      </c>
      <c r="H279" s="1266"/>
      <c r="I279" s="1266">
        <v>2</v>
      </c>
    </row>
    <row r="280" spans="2:9" ht="15" customHeight="1">
      <c r="B280" s="406" t="s">
        <v>2353</v>
      </c>
      <c r="C280" s="1088" t="s">
        <v>2354</v>
      </c>
      <c r="D280" s="1124"/>
      <c r="E280" s="1124"/>
      <c r="F280" s="1124"/>
      <c r="G280" s="1124">
        <v>2</v>
      </c>
      <c r="H280" s="282">
        <f t="shared" si="13"/>
        <v>0</v>
      </c>
      <c r="I280" s="282">
        <f t="shared" si="13"/>
        <v>2</v>
      </c>
    </row>
    <row r="281" spans="2:9" ht="15" customHeight="1">
      <c r="B281" s="406" t="s">
        <v>2355</v>
      </c>
      <c r="C281" s="1088" t="s">
        <v>2356</v>
      </c>
      <c r="D281" s="1124"/>
      <c r="E281" s="1124"/>
      <c r="F281" s="1124">
        <v>2</v>
      </c>
      <c r="G281" s="1124">
        <v>2</v>
      </c>
      <c r="H281" s="282">
        <f t="shared" si="13"/>
        <v>2</v>
      </c>
      <c r="I281" s="282">
        <f t="shared" si="13"/>
        <v>2</v>
      </c>
    </row>
    <row r="282" spans="2:9" ht="15" customHeight="1">
      <c r="B282" s="406" t="s">
        <v>2357</v>
      </c>
      <c r="C282" s="1088" t="s">
        <v>2358</v>
      </c>
      <c r="D282" s="1124"/>
      <c r="E282" s="1124"/>
      <c r="F282" s="1124"/>
      <c r="G282" s="1124">
        <v>1</v>
      </c>
      <c r="H282" s="420">
        <f t="shared" si="13"/>
        <v>0</v>
      </c>
      <c r="I282" s="420">
        <f t="shared" si="13"/>
        <v>1</v>
      </c>
    </row>
    <row r="283" spans="2:9" ht="15" customHeight="1">
      <c r="B283" s="406" t="s">
        <v>2359</v>
      </c>
      <c r="C283" s="1088" t="s">
        <v>2360</v>
      </c>
      <c r="D283" s="1124">
        <v>6</v>
      </c>
      <c r="E283" s="1124">
        <v>6</v>
      </c>
      <c r="F283" s="1124">
        <v>91</v>
      </c>
      <c r="G283" s="1124">
        <v>90</v>
      </c>
      <c r="H283" s="420">
        <f t="shared" si="13"/>
        <v>97</v>
      </c>
      <c r="I283" s="420">
        <f t="shared" si="13"/>
        <v>96</v>
      </c>
    </row>
    <row r="284" spans="2:9" ht="15" customHeight="1">
      <c r="B284" s="406" t="s">
        <v>2361</v>
      </c>
      <c r="C284" s="1088" t="s">
        <v>2362</v>
      </c>
      <c r="D284" s="1124"/>
      <c r="E284" s="1124"/>
      <c r="F284" s="1124">
        <v>40</v>
      </c>
      <c r="G284" s="1124">
        <v>40</v>
      </c>
      <c r="H284" s="420">
        <f t="shared" si="13"/>
        <v>40</v>
      </c>
      <c r="I284" s="420">
        <f t="shared" si="13"/>
        <v>40</v>
      </c>
    </row>
    <row r="285" spans="2:9" ht="15" customHeight="1">
      <c r="B285" s="406" t="s">
        <v>2050</v>
      </c>
      <c r="C285" s="1088" t="s">
        <v>2051</v>
      </c>
      <c r="D285" s="1124"/>
      <c r="E285" s="1124"/>
      <c r="F285" s="1124">
        <v>184</v>
      </c>
      <c r="G285" s="1124">
        <v>180</v>
      </c>
      <c r="H285" s="420">
        <f t="shared" si="13"/>
        <v>184</v>
      </c>
      <c r="I285" s="420">
        <f t="shared" si="13"/>
        <v>180</v>
      </c>
    </row>
    <row r="286" spans="2:9" ht="15" customHeight="1">
      <c r="B286" s="449" t="s">
        <v>2080</v>
      </c>
      <c r="C286" s="1088" t="s">
        <v>2363</v>
      </c>
      <c r="D286" s="1124"/>
      <c r="E286" s="1124"/>
      <c r="F286" s="1124"/>
      <c r="G286" s="1124"/>
      <c r="H286" s="420">
        <f t="shared" si="13"/>
        <v>0</v>
      </c>
      <c r="I286" s="420">
        <f t="shared" si="13"/>
        <v>0</v>
      </c>
    </row>
    <row r="287" spans="2:9" ht="15" customHeight="1">
      <c r="B287" s="406" t="s">
        <v>2082</v>
      </c>
      <c r="C287" s="1088" t="s">
        <v>2364</v>
      </c>
      <c r="D287" s="1124"/>
      <c r="E287" s="1124"/>
      <c r="F287" s="1124"/>
      <c r="G287" s="1124"/>
      <c r="H287" s="420">
        <f t="shared" si="13"/>
        <v>0</v>
      </c>
      <c r="I287" s="420">
        <f t="shared" si="13"/>
        <v>0</v>
      </c>
    </row>
    <row r="288" spans="2:9" ht="15" customHeight="1">
      <c r="B288" s="406" t="s">
        <v>2365</v>
      </c>
      <c r="C288" s="1088" t="s">
        <v>2366</v>
      </c>
      <c r="D288" s="1124"/>
      <c r="E288" s="1124"/>
      <c r="F288" s="1124"/>
      <c r="G288" s="1124">
        <v>2</v>
      </c>
      <c r="H288" s="1123">
        <f t="shared" si="13"/>
        <v>0</v>
      </c>
      <c r="I288" s="1123">
        <f t="shared" si="13"/>
        <v>2</v>
      </c>
    </row>
    <row r="289" spans="2:9" ht="15" customHeight="1">
      <c r="B289" s="406" t="s">
        <v>2367</v>
      </c>
      <c r="C289" s="431" t="s">
        <v>2368</v>
      </c>
      <c r="D289" s="1124"/>
      <c r="E289" s="1124"/>
      <c r="F289" s="1124"/>
      <c r="G289" s="1124"/>
      <c r="H289" s="420">
        <f t="shared" si="13"/>
        <v>0</v>
      </c>
      <c r="I289" s="420">
        <f t="shared" si="13"/>
        <v>0</v>
      </c>
    </row>
    <row r="290" spans="2:9" ht="15" customHeight="1">
      <c r="B290" s="406" t="s">
        <v>2369</v>
      </c>
      <c r="C290" s="416" t="s">
        <v>2370</v>
      </c>
      <c r="D290" s="1124"/>
      <c r="E290" s="1124"/>
      <c r="F290" s="1124"/>
      <c r="G290" s="1124">
        <v>2</v>
      </c>
      <c r="H290" s="420">
        <f t="shared" si="13"/>
        <v>0</v>
      </c>
      <c r="I290" s="420">
        <f t="shared" si="13"/>
        <v>2</v>
      </c>
    </row>
    <row r="291" spans="2:9" ht="15" customHeight="1">
      <c r="B291" s="406" t="s">
        <v>2371</v>
      </c>
      <c r="C291" s="1088" t="s">
        <v>2372</v>
      </c>
      <c r="D291" s="1124"/>
      <c r="E291" s="1124"/>
      <c r="F291" s="1124"/>
      <c r="G291" s="1124"/>
      <c r="H291" s="420">
        <f t="shared" si="13"/>
        <v>0</v>
      </c>
      <c r="I291" s="420">
        <f t="shared" si="13"/>
        <v>0</v>
      </c>
    </row>
    <row r="292" spans="2:9" ht="15" customHeight="1">
      <c r="B292" s="406" t="s">
        <v>2373</v>
      </c>
      <c r="C292" s="431" t="s">
        <v>2374</v>
      </c>
      <c r="D292" s="1124"/>
      <c r="E292" s="1124"/>
      <c r="F292" s="1124"/>
      <c r="G292" s="1124"/>
      <c r="H292" s="282">
        <f t="shared" si="13"/>
        <v>0</v>
      </c>
      <c r="I292" s="282">
        <f t="shared" si="13"/>
        <v>0</v>
      </c>
    </row>
    <row r="293" spans="2:9" ht="15" customHeight="1">
      <c r="B293" s="406" t="s">
        <v>2086</v>
      </c>
      <c r="C293" s="416" t="s">
        <v>2087</v>
      </c>
      <c r="D293" s="1124">
        <v>64</v>
      </c>
      <c r="E293" s="1124">
        <v>70</v>
      </c>
      <c r="F293" s="1124">
        <v>236</v>
      </c>
      <c r="G293" s="1124">
        <v>240</v>
      </c>
      <c r="H293" s="420">
        <f t="shared" si="13"/>
        <v>300</v>
      </c>
      <c r="I293" s="420">
        <f t="shared" si="13"/>
        <v>310</v>
      </c>
    </row>
    <row r="294" spans="2:9" ht="15" customHeight="1">
      <c r="B294" s="406" t="s">
        <v>2090</v>
      </c>
      <c r="C294" s="416" t="s">
        <v>2091</v>
      </c>
      <c r="D294" s="1124">
        <v>16</v>
      </c>
      <c r="E294" s="1124">
        <v>20</v>
      </c>
      <c r="F294" s="1124">
        <v>966</v>
      </c>
      <c r="G294" s="1124">
        <v>1000</v>
      </c>
      <c r="H294" s="420">
        <f t="shared" si="13"/>
        <v>982</v>
      </c>
      <c r="I294" s="420">
        <f t="shared" si="13"/>
        <v>1020</v>
      </c>
    </row>
    <row r="295" spans="2:9" ht="15" customHeight="1">
      <c r="B295" s="1089" t="s">
        <v>2092</v>
      </c>
      <c r="C295" s="416" t="s">
        <v>2093</v>
      </c>
      <c r="D295" s="1124">
        <v>7</v>
      </c>
      <c r="E295" s="1124">
        <v>10</v>
      </c>
      <c r="F295" s="1124">
        <v>33</v>
      </c>
      <c r="G295" s="1124">
        <v>30</v>
      </c>
      <c r="H295" s="420">
        <f t="shared" si="13"/>
        <v>40</v>
      </c>
      <c r="I295" s="420">
        <f t="shared" si="13"/>
        <v>40</v>
      </c>
    </row>
    <row r="296" spans="2:9" ht="15" customHeight="1">
      <c r="B296" s="1089" t="s">
        <v>2094</v>
      </c>
      <c r="C296" s="416" t="s">
        <v>2375</v>
      </c>
      <c r="D296" s="1124">
        <v>355</v>
      </c>
      <c r="E296" s="1124">
        <v>350</v>
      </c>
      <c r="F296" s="1124">
        <v>1432</v>
      </c>
      <c r="G296" s="1124">
        <v>1500</v>
      </c>
      <c r="H296" s="420">
        <f t="shared" si="13"/>
        <v>1787</v>
      </c>
      <c r="I296" s="420">
        <f t="shared" si="13"/>
        <v>1850</v>
      </c>
    </row>
    <row r="297" spans="2:9" ht="15" customHeight="1">
      <c r="B297" s="1089" t="s">
        <v>2096</v>
      </c>
      <c r="C297" s="416" t="s">
        <v>2376</v>
      </c>
      <c r="D297" s="1124"/>
      <c r="E297" s="1124"/>
      <c r="F297" s="1124">
        <v>17750</v>
      </c>
      <c r="G297" s="1124">
        <v>17700</v>
      </c>
      <c r="H297" s="420">
        <f t="shared" si="13"/>
        <v>17750</v>
      </c>
      <c r="I297" s="420">
        <f t="shared" si="13"/>
        <v>17700</v>
      </c>
    </row>
    <row r="298" spans="2:9" ht="15" customHeight="1">
      <c r="B298" s="1089" t="s">
        <v>2098</v>
      </c>
      <c r="C298" s="416" t="s">
        <v>2099</v>
      </c>
      <c r="D298" s="1124"/>
      <c r="E298" s="1124">
        <v>2</v>
      </c>
      <c r="F298" s="1124">
        <v>658</v>
      </c>
      <c r="G298" s="1124">
        <v>700</v>
      </c>
      <c r="H298" s="420">
        <f t="shared" si="13"/>
        <v>658</v>
      </c>
      <c r="I298" s="420">
        <f t="shared" si="13"/>
        <v>702</v>
      </c>
    </row>
    <row r="299" spans="2:9" ht="15" customHeight="1">
      <c r="B299" s="406" t="s">
        <v>2100</v>
      </c>
      <c r="C299" s="416" t="s">
        <v>2377</v>
      </c>
      <c r="D299" s="1124">
        <v>3</v>
      </c>
      <c r="E299" s="1124">
        <v>3</v>
      </c>
      <c r="F299" s="1124">
        <v>1821</v>
      </c>
      <c r="G299" s="1124">
        <v>1850</v>
      </c>
      <c r="H299" s="420">
        <f t="shared" si="13"/>
        <v>1824</v>
      </c>
      <c r="I299" s="420">
        <f t="shared" si="13"/>
        <v>1853</v>
      </c>
    </row>
    <row r="300" spans="2:9" ht="15" customHeight="1">
      <c r="B300" s="1089" t="s">
        <v>2102</v>
      </c>
      <c r="C300" s="416" t="s">
        <v>2103</v>
      </c>
      <c r="D300" s="1124">
        <v>46</v>
      </c>
      <c r="E300" s="1124">
        <v>50</v>
      </c>
      <c r="F300" s="1124">
        <v>10488</v>
      </c>
      <c r="G300" s="1124">
        <v>10500</v>
      </c>
      <c r="H300" s="420">
        <f t="shared" si="13"/>
        <v>10534</v>
      </c>
      <c r="I300" s="420">
        <f t="shared" si="13"/>
        <v>10550</v>
      </c>
    </row>
    <row r="301" spans="2:9" ht="15" customHeight="1">
      <c r="B301" s="406" t="s">
        <v>2104</v>
      </c>
      <c r="C301" s="406" t="s">
        <v>2105</v>
      </c>
      <c r="D301" s="1124">
        <v>13</v>
      </c>
      <c r="E301" s="1124">
        <v>10</v>
      </c>
      <c r="F301" s="1124">
        <v>25685</v>
      </c>
      <c r="G301" s="1124">
        <v>25600</v>
      </c>
      <c r="H301" s="282">
        <f t="shared" si="13"/>
        <v>25698</v>
      </c>
      <c r="I301" s="282">
        <f t="shared" si="13"/>
        <v>25610</v>
      </c>
    </row>
    <row r="302" spans="2:9" ht="15" customHeight="1">
      <c r="B302" s="1089" t="s">
        <v>2106</v>
      </c>
      <c r="C302" s="406" t="s">
        <v>2107</v>
      </c>
      <c r="D302" s="1124"/>
      <c r="E302" s="1124"/>
      <c r="F302" s="1124">
        <v>2687</v>
      </c>
      <c r="G302" s="1124">
        <v>2700</v>
      </c>
      <c r="H302" s="282">
        <f t="shared" si="13"/>
        <v>2687</v>
      </c>
      <c r="I302" s="282">
        <f t="shared" si="13"/>
        <v>2700</v>
      </c>
    </row>
    <row r="303" spans="2:9" ht="15" customHeight="1">
      <c r="B303" s="1089" t="s">
        <v>2378</v>
      </c>
      <c r="C303" s="406" t="s">
        <v>2379</v>
      </c>
      <c r="D303" s="1124"/>
      <c r="E303" s="1124"/>
      <c r="F303" s="1124"/>
      <c r="G303" s="1124"/>
      <c r="H303" s="282">
        <f t="shared" si="13"/>
        <v>0</v>
      </c>
      <c r="I303" s="282">
        <f t="shared" si="13"/>
        <v>0</v>
      </c>
    </row>
    <row r="304" spans="2:9" ht="15" customHeight="1">
      <c r="B304" s="406" t="s">
        <v>2380</v>
      </c>
      <c r="C304" s="406" t="s">
        <v>2381</v>
      </c>
      <c r="D304" s="1124"/>
      <c r="E304" s="1124"/>
      <c r="F304" s="1124"/>
      <c r="G304" s="1124"/>
      <c r="H304" s="1123">
        <f t="shared" si="13"/>
        <v>0</v>
      </c>
      <c r="I304" s="1123">
        <f t="shared" si="13"/>
        <v>0</v>
      </c>
    </row>
    <row r="305" spans="2:9" ht="15" customHeight="1">
      <c r="B305" s="406" t="s">
        <v>2131</v>
      </c>
      <c r="C305" s="406" t="s">
        <v>2383</v>
      </c>
      <c r="D305" s="1124"/>
      <c r="E305" s="1124"/>
      <c r="F305" s="1124">
        <v>1540</v>
      </c>
      <c r="G305" s="1124">
        <v>1600</v>
      </c>
      <c r="H305" s="282">
        <f t="shared" si="13"/>
        <v>1540</v>
      </c>
      <c r="I305" s="282">
        <f t="shared" si="13"/>
        <v>1600</v>
      </c>
    </row>
    <row r="306" spans="2:9" ht="15" customHeight="1">
      <c r="B306" s="444" t="s">
        <v>2</v>
      </c>
      <c r="C306" s="479"/>
      <c r="D306" s="423">
        <f>SUM(D266:D305)</f>
        <v>14480</v>
      </c>
      <c r="E306" s="423">
        <f>SUM(E266:E305)</f>
        <v>14493</v>
      </c>
      <c r="F306" s="423">
        <f>SUM(F266:F305)</f>
        <v>68012</v>
      </c>
      <c r="G306" s="423">
        <f>SUM(G266:G305)</f>
        <v>68082</v>
      </c>
      <c r="H306" s="424">
        <f t="shared" si="13"/>
        <v>82492</v>
      </c>
      <c r="I306" s="424">
        <f t="shared" si="13"/>
        <v>82575</v>
      </c>
    </row>
    <row r="307" spans="2:9" ht="15" customHeight="1">
      <c r="B307" s="446"/>
      <c r="C307" s="447" t="s">
        <v>2384</v>
      </c>
      <c r="D307" s="440"/>
      <c r="E307" s="440"/>
      <c r="F307" s="440"/>
      <c r="G307" s="440"/>
      <c r="H307" s="440"/>
      <c r="I307" s="440"/>
    </row>
    <row r="308" spans="2:9" ht="15" customHeight="1">
      <c r="B308" s="406" t="s">
        <v>2111</v>
      </c>
      <c r="C308" s="448" t="s">
        <v>2112</v>
      </c>
      <c r="D308" s="1124"/>
      <c r="E308" s="1124"/>
      <c r="F308" s="1124">
        <v>551</v>
      </c>
      <c r="G308" s="1124">
        <v>550</v>
      </c>
      <c r="H308" s="282">
        <f t="shared" ref="H308:I317" si="14">D308+F308</f>
        <v>551</v>
      </c>
      <c r="I308" s="282">
        <f t="shared" si="14"/>
        <v>550</v>
      </c>
    </row>
    <row r="309" spans="2:9" ht="15" customHeight="1">
      <c r="B309" s="406" t="s">
        <v>2113</v>
      </c>
      <c r="C309" s="416" t="s">
        <v>2114</v>
      </c>
      <c r="D309" s="1124"/>
      <c r="E309" s="1124"/>
      <c r="F309" s="1124">
        <v>2125</v>
      </c>
      <c r="G309" s="1124">
        <v>2200</v>
      </c>
      <c r="H309" s="282">
        <f t="shared" si="14"/>
        <v>2125</v>
      </c>
      <c r="I309" s="282">
        <f t="shared" si="14"/>
        <v>2200</v>
      </c>
    </row>
    <row r="310" spans="2:9" ht="15" customHeight="1">
      <c r="B310" s="406" t="s">
        <v>2385</v>
      </c>
      <c r="C310" s="416" t="s">
        <v>2386</v>
      </c>
      <c r="D310" s="1124">
        <v>33</v>
      </c>
      <c r="E310" s="1124">
        <v>35</v>
      </c>
      <c r="F310" s="1124">
        <v>9</v>
      </c>
      <c r="G310" s="1124">
        <v>10</v>
      </c>
      <c r="H310" s="282">
        <f t="shared" si="14"/>
        <v>42</v>
      </c>
      <c r="I310" s="282">
        <f t="shared" si="14"/>
        <v>45</v>
      </c>
    </row>
    <row r="311" spans="2:9" ht="15" customHeight="1">
      <c r="B311" s="406" t="s">
        <v>2387</v>
      </c>
      <c r="C311" s="416" t="s">
        <v>2388</v>
      </c>
      <c r="D311" s="1124">
        <v>1</v>
      </c>
      <c r="E311" s="1124">
        <v>1</v>
      </c>
      <c r="F311" s="1124">
        <v>1</v>
      </c>
      <c r="G311" s="1124">
        <v>2</v>
      </c>
      <c r="H311" s="282">
        <f t="shared" si="14"/>
        <v>2</v>
      </c>
      <c r="I311" s="282">
        <f t="shared" si="14"/>
        <v>3</v>
      </c>
    </row>
    <row r="312" spans="2:9" ht="15" customHeight="1">
      <c r="B312" s="406" t="s">
        <v>2389</v>
      </c>
      <c r="C312" s="432" t="s">
        <v>2390</v>
      </c>
      <c r="D312" s="1124">
        <v>13</v>
      </c>
      <c r="E312" s="1124">
        <v>10</v>
      </c>
      <c r="F312" s="1124">
        <v>1</v>
      </c>
      <c r="G312" s="1124">
        <v>2</v>
      </c>
      <c r="H312" s="282">
        <f t="shared" si="14"/>
        <v>14</v>
      </c>
      <c r="I312" s="282">
        <f t="shared" si="14"/>
        <v>12</v>
      </c>
    </row>
    <row r="313" spans="2:9" ht="15" customHeight="1">
      <c r="B313" s="406" t="s">
        <v>2391</v>
      </c>
      <c r="C313" s="432" t="s">
        <v>2392</v>
      </c>
      <c r="D313" s="1124">
        <v>2</v>
      </c>
      <c r="E313" s="1124">
        <v>2</v>
      </c>
      <c r="F313" s="1124"/>
      <c r="G313" s="1124">
        <v>2</v>
      </c>
      <c r="H313" s="282">
        <f t="shared" si="14"/>
        <v>2</v>
      </c>
      <c r="I313" s="282">
        <f t="shared" si="14"/>
        <v>4</v>
      </c>
    </row>
    <row r="314" spans="2:9" ht="15" customHeight="1">
      <c r="B314" s="406" t="s">
        <v>2117</v>
      </c>
      <c r="C314" s="432" t="s">
        <v>2118</v>
      </c>
      <c r="D314" s="1124">
        <v>175</v>
      </c>
      <c r="E314" s="1124">
        <v>180</v>
      </c>
      <c r="F314" s="1124">
        <v>6</v>
      </c>
      <c r="G314" s="1124">
        <v>10</v>
      </c>
      <c r="H314" s="282">
        <f t="shared" si="14"/>
        <v>181</v>
      </c>
      <c r="I314" s="282">
        <f t="shared" si="14"/>
        <v>190</v>
      </c>
    </row>
    <row r="315" spans="2:9" ht="15" customHeight="1">
      <c r="B315" s="1260" t="s">
        <v>2169</v>
      </c>
      <c r="C315" s="1261" t="s">
        <v>3998</v>
      </c>
      <c r="D315" s="1262"/>
      <c r="E315" s="1262"/>
      <c r="F315" s="1262"/>
      <c r="G315" s="1262"/>
      <c r="H315" s="1263"/>
      <c r="I315" s="1263">
        <v>2</v>
      </c>
    </row>
    <row r="316" spans="2:9" ht="15" customHeight="1">
      <c r="B316" s="406" t="s">
        <v>2129</v>
      </c>
      <c r="C316" s="432" t="s">
        <v>2130</v>
      </c>
      <c r="D316" s="1124"/>
      <c r="E316" s="1124"/>
      <c r="F316" s="1124">
        <v>107</v>
      </c>
      <c r="G316" s="1124">
        <v>110</v>
      </c>
      <c r="H316" s="282">
        <f t="shared" si="14"/>
        <v>107</v>
      </c>
      <c r="I316" s="282">
        <f t="shared" si="14"/>
        <v>110</v>
      </c>
    </row>
    <row r="317" spans="2:9" ht="15" customHeight="1">
      <c r="B317" s="406" t="s">
        <v>2133</v>
      </c>
      <c r="C317" s="432" t="s">
        <v>2134</v>
      </c>
      <c r="D317" s="1124"/>
      <c r="E317" s="1124">
        <v>50</v>
      </c>
      <c r="F317" s="1124">
        <v>57</v>
      </c>
      <c r="G317" s="1124">
        <v>100</v>
      </c>
      <c r="H317" s="282">
        <f t="shared" si="14"/>
        <v>57</v>
      </c>
      <c r="I317" s="282">
        <f t="shared" si="14"/>
        <v>150</v>
      </c>
    </row>
    <row r="318" spans="2:9" ht="15" customHeight="1">
      <c r="B318" s="444" t="s">
        <v>2</v>
      </c>
      <c r="C318" s="491"/>
      <c r="D318" s="492">
        <f t="shared" ref="D318:I318" si="15">SUM(D308:D317)</f>
        <v>224</v>
      </c>
      <c r="E318" s="492">
        <f t="shared" si="15"/>
        <v>278</v>
      </c>
      <c r="F318" s="492">
        <f t="shared" si="15"/>
        <v>2857</v>
      </c>
      <c r="G318" s="492">
        <f t="shared" si="15"/>
        <v>2986</v>
      </c>
      <c r="H318" s="492">
        <f t="shared" si="15"/>
        <v>3081</v>
      </c>
      <c r="I318" s="492">
        <f t="shared" si="15"/>
        <v>3266</v>
      </c>
    </row>
    <row r="319" spans="2:9" ht="30" customHeight="1">
      <c r="B319" s="956" t="s">
        <v>3852</v>
      </c>
      <c r="C319" s="407" t="s">
        <v>3853</v>
      </c>
      <c r="D319" s="957"/>
      <c r="E319" s="957"/>
      <c r="F319" s="957"/>
      <c r="G319" s="957"/>
      <c r="H319" s="958"/>
      <c r="I319" s="958"/>
    </row>
    <row r="320" spans="2:9" ht="15" customHeight="1">
      <c r="B320" s="453"/>
      <c r="C320" s="493" t="s">
        <v>55</v>
      </c>
      <c r="D320" s="494"/>
      <c r="E320" s="495"/>
      <c r="F320" s="495"/>
      <c r="G320" s="495"/>
      <c r="H320" s="425"/>
      <c r="I320" s="425"/>
    </row>
    <row r="321" spans="2:9" ht="15" customHeight="1">
      <c r="B321" s="496"/>
      <c r="C321" s="497" t="s">
        <v>2399</v>
      </c>
      <c r="D321" s="498"/>
      <c r="E321" s="498"/>
      <c r="F321" s="498"/>
      <c r="G321" s="498"/>
      <c r="H321" s="499"/>
      <c r="I321" s="499"/>
    </row>
    <row r="322" spans="2:9" ht="15" customHeight="1">
      <c r="B322" s="406" t="s">
        <v>2400</v>
      </c>
      <c r="C322" s="406" t="s">
        <v>2401</v>
      </c>
      <c r="D322" s="1124"/>
      <c r="E322" s="1124"/>
      <c r="F322" s="1124"/>
      <c r="G322" s="1124"/>
      <c r="H322" s="282">
        <f t="shared" ref="H322:I344" si="16">D322+F322</f>
        <v>0</v>
      </c>
      <c r="I322" s="282">
        <f t="shared" si="16"/>
        <v>0</v>
      </c>
    </row>
    <row r="323" spans="2:9" ht="15" customHeight="1">
      <c r="B323" s="500" t="s">
        <v>2403</v>
      </c>
      <c r="C323" s="501" t="s">
        <v>2404</v>
      </c>
      <c r="D323" s="1124"/>
      <c r="E323" s="1124"/>
      <c r="F323" s="1124"/>
      <c r="G323" s="1124"/>
      <c r="H323" s="282">
        <f t="shared" si="16"/>
        <v>0</v>
      </c>
      <c r="I323" s="282">
        <f t="shared" si="16"/>
        <v>0</v>
      </c>
    </row>
    <row r="324" spans="2:9" ht="15" customHeight="1">
      <c r="B324" s="406" t="s">
        <v>2405</v>
      </c>
      <c r="C324" s="1088" t="s">
        <v>2406</v>
      </c>
      <c r="D324" s="1124"/>
      <c r="E324" s="1124"/>
      <c r="F324" s="1124"/>
      <c r="G324" s="1124"/>
      <c r="H324" s="282">
        <f t="shared" si="16"/>
        <v>0</v>
      </c>
      <c r="I324" s="282">
        <f t="shared" si="16"/>
        <v>0</v>
      </c>
    </row>
    <row r="325" spans="2:9" ht="15" customHeight="1">
      <c r="B325" s="406" t="s">
        <v>2407</v>
      </c>
      <c r="C325" s="1088" t="s">
        <v>2408</v>
      </c>
      <c r="D325" s="1124"/>
      <c r="E325" s="1124"/>
      <c r="F325" s="1229"/>
      <c r="G325" s="1124"/>
      <c r="H325" s="282">
        <f t="shared" si="16"/>
        <v>0</v>
      </c>
      <c r="I325" s="282">
        <f t="shared" si="16"/>
        <v>0</v>
      </c>
    </row>
    <row r="326" spans="2:9" ht="15" customHeight="1">
      <c r="B326" s="406" t="s">
        <v>2409</v>
      </c>
      <c r="C326" s="1088" t="s">
        <v>2410</v>
      </c>
      <c r="D326" s="1124"/>
      <c r="E326" s="1124"/>
      <c r="F326" s="1229"/>
      <c r="G326" s="1124"/>
      <c r="H326" s="282">
        <f t="shared" si="16"/>
        <v>0</v>
      </c>
      <c r="I326" s="282">
        <f t="shared" si="16"/>
        <v>0</v>
      </c>
    </row>
    <row r="327" spans="2:9" ht="15" customHeight="1">
      <c r="B327" s="406" t="s">
        <v>2266</v>
      </c>
      <c r="C327" s="1088" t="s">
        <v>2267</v>
      </c>
      <c r="D327" s="1124"/>
      <c r="E327" s="1124"/>
      <c r="F327" s="1229"/>
      <c r="G327" s="1124"/>
      <c r="H327" s="282">
        <f t="shared" si="16"/>
        <v>0</v>
      </c>
      <c r="I327" s="282">
        <f t="shared" si="16"/>
        <v>0</v>
      </c>
    </row>
    <row r="328" spans="2:9" ht="15" customHeight="1">
      <c r="B328" s="500" t="s">
        <v>2268</v>
      </c>
      <c r="C328" s="501" t="s">
        <v>2411</v>
      </c>
      <c r="D328" s="1124"/>
      <c r="E328" s="1124"/>
      <c r="F328" s="1124"/>
      <c r="G328" s="1124"/>
      <c r="H328" s="282">
        <f t="shared" si="16"/>
        <v>0</v>
      </c>
      <c r="I328" s="282">
        <f t="shared" si="16"/>
        <v>0</v>
      </c>
    </row>
    <row r="329" spans="2:9" ht="15" customHeight="1">
      <c r="B329" s="500" t="s">
        <v>2412</v>
      </c>
      <c r="C329" s="501" t="s">
        <v>2413</v>
      </c>
      <c r="D329" s="1124"/>
      <c r="E329" s="1124"/>
      <c r="F329" s="1124"/>
      <c r="G329" s="1124"/>
      <c r="H329" s="282">
        <f t="shared" si="16"/>
        <v>0</v>
      </c>
      <c r="I329" s="282">
        <f t="shared" si="16"/>
        <v>0</v>
      </c>
    </row>
    <row r="330" spans="2:9" ht="15" customHeight="1">
      <c r="B330" s="500" t="s">
        <v>2414</v>
      </c>
      <c r="C330" s="501" t="s">
        <v>2415</v>
      </c>
      <c r="D330" s="1124"/>
      <c r="E330" s="1124"/>
      <c r="F330" s="1124"/>
      <c r="G330" s="1124"/>
      <c r="H330" s="282">
        <f t="shared" si="16"/>
        <v>0</v>
      </c>
      <c r="I330" s="282">
        <f t="shared" si="16"/>
        <v>0</v>
      </c>
    </row>
    <row r="331" spans="2:9" ht="15" customHeight="1">
      <c r="B331" s="500" t="s">
        <v>2416</v>
      </c>
      <c r="C331" s="501" t="s">
        <v>2417</v>
      </c>
      <c r="D331" s="1124"/>
      <c r="E331" s="1124"/>
      <c r="F331" s="1124">
        <v>3</v>
      </c>
      <c r="G331" s="1124">
        <v>3</v>
      </c>
      <c r="H331" s="282">
        <f t="shared" si="16"/>
        <v>3</v>
      </c>
      <c r="I331" s="282">
        <f t="shared" si="16"/>
        <v>3</v>
      </c>
    </row>
    <row r="332" spans="2:9" ht="15" customHeight="1">
      <c r="B332" s="500" t="s">
        <v>2418</v>
      </c>
      <c r="C332" s="501" t="s">
        <v>2419</v>
      </c>
      <c r="D332" s="1124"/>
      <c r="E332" s="1124"/>
      <c r="F332" s="1124"/>
      <c r="G332" s="1124"/>
      <c r="H332" s="282">
        <f t="shared" si="16"/>
        <v>0</v>
      </c>
      <c r="I332" s="282">
        <f t="shared" si="16"/>
        <v>0</v>
      </c>
    </row>
    <row r="333" spans="2:9" ht="15" customHeight="1">
      <c r="B333" s="500" t="s">
        <v>2420</v>
      </c>
      <c r="C333" s="501" t="s">
        <v>2421</v>
      </c>
      <c r="D333" s="1124"/>
      <c r="E333" s="1124"/>
      <c r="F333" s="1124"/>
      <c r="G333" s="1124"/>
      <c r="H333" s="282">
        <f t="shared" si="16"/>
        <v>0</v>
      </c>
      <c r="I333" s="282">
        <f t="shared" si="16"/>
        <v>0</v>
      </c>
    </row>
    <row r="334" spans="2:9" ht="15" customHeight="1">
      <c r="B334" s="500" t="s">
        <v>2422</v>
      </c>
      <c r="C334" s="501" t="s">
        <v>2423</v>
      </c>
      <c r="D334" s="1124"/>
      <c r="E334" s="1124"/>
      <c r="F334" s="1124"/>
      <c r="G334" s="1124"/>
      <c r="H334" s="282">
        <f t="shared" si="16"/>
        <v>0</v>
      </c>
      <c r="I334" s="282">
        <f t="shared" si="16"/>
        <v>0</v>
      </c>
    </row>
    <row r="335" spans="2:9" ht="15" customHeight="1">
      <c r="B335" s="500" t="s">
        <v>2424</v>
      </c>
      <c r="C335" s="501" t="s">
        <v>2425</v>
      </c>
      <c r="D335" s="1124"/>
      <c r="E335" s="1124"/>
      <c r="F335" s="1124">
        <v>1</v>
      </c>
      <c r="G335" s="1124">
        <v>1</v>
      </c>
      <c r="H335" s="282">
        <f t="shared" si="16"/>
        <v>1</v>
      </c>
      <c r="I335" s="282">
        <f t="shared" si="16"/>
        <v>1</v>
      </c>
    </row>
    <row r="336" spans="2:9" ht="15" customHeight="1">
      <c r="B336" s="500" t="s">
        <v>2426</v>
      </c>
      <c r="C336" s="501" t="s">
        <v>2427</v>
      </c>
      <c r="D336" s="1124"/>
      <c r="E336" s="1124"/>
      <c r="F336" s="1124">
        <v>2</v>
      </c>
      <c r="G336" s="1124">
        <v>2</v>
      </c>
      <c r="H336" s="282">
        <f t="shared" si="16"/>
        <v>2</v>
      </c>
      <c r="I336" s="282">
        <f t="shared" si="16"/>
        <v>2</v>
      </c>
    </row>
    <row r="337" spans="2:9" ht="15" customHeight="1">
      <c r="B337" s="500" t="s">
        <v>2428</v>
      </c>
      <c r="C337" s="501" t="s">
        <v>2429</v>
      </c>
      <c r="D337" s="1124"/>
      <c r="E337" s="1124"/>
      <c r="F337" s="1124"/>
      <c r="G337" s="1124"/>
      <c r="H337" s="282">
        <f t="shared" si="16"/>
        <v>0</v>
      </c>
      <c r="I337" s="282">
        <f t="shared" si="16"/>
        <v>0</v>
      </c>
    </row>
    <row r="338" spans="2:9" ht="15" customHeight="1">
      <c r="B338" s="500" t="s">
        <v>2430</v>
      </c>
      <c r="C338" s="501" t="s">
        <v>2431</v>
      </c>
      <c r="D338" s="1124"/>
      <c r="E338" s="1124"/>
      <c r="F338" s="1124">
        <v>1</v>
      </c>
      <c r="G338" s="1124"/>
      <c r="H338" s="282">
        <f t="shared" si="16"/>
        <v>1</v>
      </c>
      <c r="I338" s="282">
        <f t="shared" si="16"/>
        <v>0</v>
      </c>
    </row>
    <row r="339" spans="2:9" ht="15" customHeight="1">
      <c r="B339" s="500" t="s">
        <v>2432</v>
      </c>
      <c r="C339" s="501" t="s">
        <v>2433</v>
      </c>
      <c r="D339" s="1124"/>
      <c r="E339" s="1124"/>
      <c r="F339" s="1124"/>
      <c r="G339" s="1124"/>
      <c r="H339" s="282">
        <f t="shared" si="16"/>
        <v>0</v>
      </c>
      <c r="I339" s="282">
        <f t="shared" si="16"/>
        <v>0</v>
      </c>
    </row>
    <row r="340" spans="2:9" ht="15" customHeight="1">
      <c r="B340" s="500" t="s">
        <v>2434</v>
      </c>
      <c r="C340" s="501" t="s">
        <v>2435</v>
      </c>
      <c r="D340" s="1124"/>
      <c r="E340" s="1124"/>
      <c r="F340" s="1124">
        <v>12</v>
      </c>
      <c r="G340" s="1124">
        <v>25</v>
      </c>
      <c r="H340" s="282">
        <f t="shared" si="16"/>
        <v>12</v>
      </c>
      <c r="I340" s="282">
        <f t="shared" si="16"/>
        <v>25</v>
      </c>
    </row>
    <row r="341" spans="2:9" ht="15" customHeight="1">
      <c r="B341" s="500" t="s">
        <v>2436</v>
      </c>
      <c r="C341" s="501" t="s">
        <v>2437</v>
      </c>
      <c r="D341" s="1124"/>
      <c r="E341" s="1124"/>
      <c r="F341" s="1124">
        <v>1</v>
      </c>
      <c r="G341" s="1124">
        <v>1</v>
      </c>
      <c r="H341" s="282">
        <f t="shared" si="16"/>
        <v>1</v>
      </c>
      <c r="I341" s="282">
        <f t="shared" si="16"/>
        <v>1</v>
      </c>
    </row>
    <row r="342" spans="2:9" ht="15" customHeight="1">
      <c r="B342" s="500" t="s">
        <v>2438</v>
      </c>
      <c r="C342" s="501" t="s">
        <v>2439</v>
      </c>
      <c r="D342" s="1124"/>
      <c r="E342" s="1124"/>
      <c r="F342" s="1124"/>
      <c r="G342" s="1124"/>
      <c r="H342" s="282">
        <f t="shared" si="16"/>
        <v>0</v>
      </c>
      <c r="I342" s="282">
        <f t="shared" si="16"/>
        <v>0</v>
      </c>
    </row>
    <row r="343" spans="2:9" ht="15" customHeight="1">
      <c r="B343" s="500" t="s">
        <v>2440</v>
      </c>
      <c r="C343" s="501" t="s">
        <v>2441</v>
      </c>
      <c r="D343" s="1124"/>
      <c r="E343" s="1124"/>
      <c r="F343" s="1124"/>
      <c r="G343" s="1124"/>
      <c r="H343" s="282">
        <f t="shared" si="16"/>
        <v>0</v>
      </c>
      <c r="I343" s="282">
        <f t="shared" si="16"/>
        <v>0</v>
      </c>
    </row>
    <row r="344" spans="2:9" ht="15" customHeight="1">
      <c r="B344" s="500" t="s">
        <v>2442</v>
      </c>
      <c r="C344" s="501" t="s">
        <v>2443</v>
      </c>
      <c r="D344" s="1124"/>
      <c r="E344" s="1124"/>
      <c r="F344" s="1124"/>
      <c r="G344" s="1124"/>
      <c r="H344" s="282">
        <f t="shared" si="16"/>
        <v>0</v>
      </c>
      <c r="I344" s="282">
        <f t="shared" si="16"/>
        <v>0</v>
      </c>
    </row>
    <row r="345" spans="2:9" ht="15" customHeight="1">
      <c r="B345" s="500" t="s">
        <v>2444</v>
      </c>
      <c r="C345" s="501" t="s">
        <v>2445</v>
      </c>
      <c r="D345" s="1124"/>
      <c r="E345" s="1124"/>
      <c r="F345" s="1124">
        <v>8</v>
      </c>
      <c r="G345" s="1124">
        <v>10</v>
      </c>
      <c r="H345" s="282">
        <v>6</v>
      </c>
      <c r="I345" s="282">
        <f t="shared" ref="I345:I381" si="17">E345+G345</f>
        <v>10</v>
      </c>
    </row>
    <row r="346" spans="2:9" ht="15" customHeight="1">
      <c r="B346" s="500" t="s">
        <v>2446</v>
      </c>
      <c r="C346" s="501" t="s">
        <v>2447</v>
      </c>
      <c r="D346" s="1124"/>
      <c r="E346" s="1124"/>
      <c r="F346" s="1124"/>
      <c r="G346" s="1124"/>
      <c r="H346" s="282">
        <f t="shared" ref="H346:H382" si="18">D346+F346</f>
        <v>0</v>
      </c>
      <c r="I346" s="282">
        <f t="shared" si="17"/>
        <v>0</v>
      </c>
    </row>
    <row r="347" spans="2:9" ht="15" customHeight="1">
      <c r="B347" s="500" t="s">
        <v>2448</v>
      </c>
      <c r="C347" s="501" t="s">
        <v>2449</v>
      </c>
      <c r="D347" s="1124"/>
      <c r="E347" s="1124"/>
      <c r="F347" s="1124"/>
      <c r="G347" s="1124"/>
      <c r="H347" s="282">
        <f t="shared" si="18"/>
        <v>0</v>
      </c>
      <c r="I347" s="282">
        <f t="shared" si="17"/>
        <v>0</v>
      </c>
    </row>
    <row r="348" spans="2:9" ht="15" customHeight="1">
      <c r="B348" s="500" t="s">
        <v>2450</v>
      </c>
      <c r="C348" s="501" t="s">
        <v>2451</v>
      </c>
      <c r="D348" s="1124"/>
      <c r="E348" s="1124"/>
      <c r="F348" s="1124">
        <v>5</v>
      </c>
      <c r="G348" s="1124">
        <v>5</v>
      </c>
      <c r="H348" s="282">
        <f t="shared" si="18"/>
        <v>5</v>
      </c>
      <c r="I348" s="282">
        <f t="shared" si="17"/>
        <v>5</v>
      </c>
    </row>
    <row r="349" spans="2:9" ht="15" customHeight="1">
      <c r="B349" s="500" t="s">
        <v>2452</v>
      </c>
      <c r="C349" s="501" t="s">
        <v>2453</v>
      </c>
      <c r="D349" s="1124"/>
      <c r="E349" s="1124"/>
      <c r="F349" s="1124">
        <v>1</v>
      </c>
      <c r="G349" s="1124">
        <v>1</v>
      </c>
      <c r="H349" s="282">
        <f t="shared" si="18"/>
        <v>1</v>
      </c>
      <c r="I349" s="282">
        <f t="shared" si="17"/>
        <v>1</v>
      </c>
    </row>
    <row r="350" spans="2:9" ht="15" customHeight="1">
      <c r="B350" s="500" t="s">
        <v>2454</v>
      </c>
      <c r="C350" s="501" t="s">
        <v>2455</v>
      </c>
      <c r="D350" s="1124"/>
      <c r="E350" s="1124"/>
      <c r="F350" s="1124">
        <v>9</v>
      </c>
      <c r="G350" s="1124">
        <v>10</v>
      </c>
      <c r="H350" s="282">
        <f t="shared" si="18"/>
        <v>9</v>
      </c>
      <c r="I350" s="282">
        <f t="shared" si="17"/>
        <v>10</v>
      </c>
    </row>
    <row r="351" spans="2:9" ht="15" customHeight="1">
      <c r="B351" s="417" t="s">
        <v>2456</v>
      </c>
      <c r="C351" s="502" t="s">
        <v>2457</v>
      </c>
      <c r="D351" s="1124"/>
      <c r="E351" s="1124"/>
      <c r="F351" s="1124"/>
      <c r="G351" s="1124"/>
      <c r="H351" s="420">
        <f t="shared" si="18"/>
        <v>0</v>
      </c>
      <c r="I351" s="420">
        <f t="shared" si="17"/>
        <v>0</v>
      </c>
    </row>
    <row r="352" spans="2:9" ht="15" customHeight="1">
      <c r="B352" s="500" t="s">
        <v>2458</v>
      </c>
      <c r="C352" s="501" t="s">
        <v>2459</v>
      </c>
      <c r="D352" s="1124"/>
      <c r="E352" s="1124"/>
      <c r="F352" s="1124">
        <v>19</v>
      </c>
      <c r="G352" s="1124">
        <v>20</v>
      </c>
      <c r="H352" s="282">
        <f t="shared" si="18"/>
        <v>19</v>
      </c>
      <c r="I352" s="282">
        <f t="shared" si="17"/>
        <v>20</v>
      </c>
    </row>
    <row r="353" spans="2:9" ht="15" customHeight="1">
      <c r="B353" s="500" t="s">
        <v>2460</v>
      </c>
      <c r="C353" s="501" t="s">
        <v>2461</v>
      </c>
      <c r="D353" s="1124"/>
      <c r="E353" s="1124"/>
      <c r="F353" s="1124">
        <v>1</v>
      </c>
      <c r="G353" s="1124">
        <v>1</v>
      </c>
      <c r="H353" s="282">
        <f t="shared" si="18"/>
        <v>1</v>
      </c>
      <c r="I353" s="282">
        <f t="shared" si="17"/>
        <v>1</v>
      </c>
    </row>
    <row r="354" spans="2:9" ht="15" customHeight="1">
      <c r="B354" s="500" t="s">
        <v>2462</v>
      </c>
      <c r="C354" s="501" t="s">
        <v>2463</v>
      </c>
      <c r="D354" s="1124"/>
      <c r="E354" s="1124"/>
      <c r="F354" s="1124"/>
      <c r="G354" s="1124"/>
      <c r="H354" s="282">
        <f t="shared" si="18"/>
        <v>0</v>
      </c>
      <c r="I354" s="282">
        <f t="shared" si="17"/>
        <v>0</v>
      </c>
    </row>
    <row r="355" spans="2:9" ht="15" customHeight="1">
      <c r="B355" s="500" t="s">
        <v>2464</v>
      </c>
      <c r="C355" s="501" t="s">
        <v>2465</v>
      </c>
      <c r="D355" s="1124"/>
      <c r="E355" s="1124"/>
      <c r="F355" s="1124"/>
      <c r="G355" s="1124"/>
      <c r="H355" s="282">
        <f t="shared" si="18"/>
        <v>0</v>
      </c>
      <c r="I355" s="282">
        <f t="shared" si="17"/>
        <v>0</v>
      </c>
    </row>
    <row r="356" spans="2:9" ht="15" customHeight="1">
      <c r="B356" s="500" t="s">
        <v>2466</v>
      </c>
      <c r="C356" s="501" t="s">
        <v>2467</v>
      </c>
      <c r="D356" s="1124"/>
      <c r="E356" s="1124"/>
      <c r="F356" s="1124">
        <v>1</v>
      </c>
      <c r="G356" s="1124">
        <v>1</v>
      </c>
      <c r="H356" s="282">
        <f t="shared" si="18"/>
        <v>1</v>
      </c>
      <c r="I356" s="282">
        <f t="shared" si="17"/>
        <v>1</v>
      </c>
    </row>
    <row r="357" spans="2:9" ht="15" customHeight="1">
      <c r="B357" s="500" t="s">
        <v>2468</v>
      </c>
      <c r="C357" s="501" t="s">
        <v>2469</v>
      </c>
      <c r="D357" s="1124"/>
      <c r="E357" s="1124"/>
      <c r="F357" s="1124"/>
      <c r="G357" s="1124"/>
      <c r="H357" s="282">
        <f t="shared" si="18"/>
        <v>0</v>
      </c>
      <c r="I357" s="282">
        <f t="shared" si="17"/>
        <v>0</v>
      </c>
    </row>
    <row r="358" spans="2:9" ht="15" customHeight="1">
      <c r="B358" s="406" t="s">
        <v>2470</v>
      </c>
      <c r="C358" s="1088" t="s">
        <v>2471</v>
      </c>
      <c r="D358" s="1124"/>
      <c r="E358" s="1124"/>
      <c r="F358" s="1124"/>
      <c r="G358" s="1124"/>
      <c r="H358" s="282">
        <f t="shared" si="18"/>
        <v>0</v>
      </c>
      <c r="I358" s="282">
        <f t="shared" si="17"/>
        <v>0</v>
      </c>
    </row>
    <row r="359" spans="2:9" ht="15" customHeight="1">
      <c r="B359" s="500" t="s">
        <v>2472</v>
      </c>
      <c r="C359" s="501" t="s">
        <v>2473</v>
      </c>
      <c r="D359" s="1124"/>
      <c r="E359" s="1124"/>
      <c r="F359" s="1124">
        <v>1</v>
      </c>
      <c r="G359" s="1124">
        <v>1</v>
      </c>
      <c r="H359" s="282">
        <f t="shared" si="18"/>
        <v>1</v>
      </c>
      <c r="I359" s="282">
        <f t="shared" si="17"/>
        <v>1</v>
      </c>
    </row>
    <row r="360" spans="2:9" ht="15" customHeight="1">
      <c r="B360" s="500" t="s">
        <v>2474</v>
      </c>
      <c r="C360" s="501" t="s">
        <v>2475</v>
      </c>
      <c r="D360" s="1124"/>
      <c r="E360" s="1124"/>
      <c r="F360" s="1124">
        <v>19</v>
      </c>
      <c r="G360" s="1124">
        <v>20</v>
      </c>
      <c r="H360" s="282">
        <f t="shared" si="18"/>
        <v>19</v>
      </c>
      <c r="I360" s="282">
        <f t="shared" si="17"/>
        <v>20</v>
      </c>
    </row>
    <row r="361" spans="2:9" ht="15" customHeight="1">
      <c r="B361" s="500" t="s">
        <v>2476</v>
      </c>
      <c r="C361" s="501" t="s">
        <v>2477</v>
      </c>
      <c r="D361" s="1124"/>
      <c r="E361" s="1124"/>
      <c r="F361" s="1124">
        <v>126</v>
      </c>
      <c r="G361" s="1124">
        <v>140</v>
      </c>
      <c r="H361" s="282">
        <f t="shared" si="18"/>
        <v>126</v>
      </c>
      <c r="I361" s="282">
        <f t="shared" si="17"/>
        <v>140</v>
      </c>
    </row>
    <row r="362" spans="2:9" ht="15" customHeight="1">
      <c r="B362" s="500" t="s">
        <v>2478</v>
      </c>
      <c r="C362" s="501" t="s">
        <v>2479</v>
      </c>
      <c r="D362" s="1124"/>
      <c r="E362" s="1124"/>
      <c r="F362" s="1124">
        <v>3</v>
      </c>
      <c r="G362" s="1124">
        <v>1</v>
      </c>
      <c r="H362" s="282">
        <f t="shared" si="18"/>
        <v>3</v>
      </c>
      <c r="I362" s="282">
        <f t="shared" si="17"/>
        <v>1</v>
      </c>
    </row>
    <row r="363" spans="2:9" ht="15" customHeight="1">
      <c r="B363" s="500" t="s">
        <v>2480</v>
      </c>
      <c r="C363" s="501" t="s">
        <v>2481</v>
      </c>
      <c r="D363" s="1124"/>
      <c r="E363" s="1124"/>
      <c r="F363" s="1124"/>
      <c r="G363" s="1124">
        <v>1</v>
      </c>
      <c r="H363" s="282">
        <f t="shared" si="18"/>
        <v>0</v>
      </c>
      <c r="I363" s="282">
        <f t="shared" si="17"/>
        <v>1</v>
      </c>
    </row>
    <row r="364" spans="2:9" ht="15" customHeight="1">
      <c r="B364" s="503" t="s">
        <v>2482</v>
      </c>
      <c r="C364" s="504" t="s">
        <v>2483</v>
      </c>
      <c r="D364" s="1124"/>
      <c r="E364" s="1124"/>
      <c r="F364" s="1124">
        <v>35</v>
      </c>
      <c r="G364" s="1124">
        <v>35</v>
      </c>
      <c r="H364" s="420">
        <f t="shared" si="18"/>
        <v>35</v>
      </c>
      <c r="I364" s="420">
        <f t="shared" si="17"/>
        <v>35</v>
      </c>
    </row>
    <row r="365" spans="2:9" ht="15" customHeight="1">
      <c r="B365" s="406" t="s">
        <v>2484</v>
      </c>
      <c r="C365" s="1088" t="s">
        <v>2485</v>
      </c>
      <c r="D365" s="1124"/>
      <c r="E365" s="1124"/>
      <c r="F365" s="1124">
        <v>90</v>
      </c>
      <c r="G365" s="1124">
        <v>90</v>
      </c>
      <c r="H365" s="282">
        <f t="shared" si="18"/>
        <v>90</v>
      </c>
      <c r="I365" s="282">
        <f t="shared" si="17"/>
        <v>90</v>
      </c>
    </row>
    <row r="366" spans="2:9" ht="15" customHeight="1">
      <c r="B366" s="406" t="s">
        <v>2486</v>
      </c>
      <c r="C366" s="1088" t="s">
        <v>2487</v>
      </c>
      <c r="D366" s="1124"/>
      <c r="E366" s="1124"/>
      <c r="F366" s="1124">
        <v>5</v>
      </c>
      <c r="G366" s="1124">
        <v>5</v>
      </c>
      <c r="H366" s="282">
        <f t="shared" si="18"/>
        <v>5</v>
      </c>
      <c r="I366" s="282">
        <f t="shared" si="17"/>
        <v>5</v>
      </c>
    </row>
    <row r="367" spans="2:9" ht="15" customHeight="1">
      <c r="B367" s="406" t="s">
        <v>2488</v>
      </c>
      <c r="C367" s="1088" t="s">
        <v>2489</v>
      </c>
      <c r="D367" s="1124"/>
      <c r="E367" s="1124"/>
      <c r="F367" s="1124">
        <v>49</v>
      </c>
      <c r="G367" s="1124">
        <v>50</v>
      </c>
      <c r="H367" s="282">
        <f t="shared" si="18"/>
        <v>49</v>
      </c>
      <c r="I367" s="282">
        <f t="shared" si="17"/>
        <v>50</v>
      </c>
    </row>
    <row r="368" spans="2:9" ht="15" customHeight="1">
      <c r="B368" s="406" t="s">
        <v>2490</v>
      </c>
      <c r="C368" s="1088" t="s">
        <v>2491</v>
      </c>
      <c r="D368" s="1124"/>
      <c r="E368" s="1124"/>
      <c r="F368" s="1124"/>
      <c r="G368" s="1124"/>
      <c r="H368" s="282">
        <f t="shared" si="18"/>
        <v>0</v>
      </c>
      <c r="I368" s="282">
        <f t="shared" si="17"/>
        <v>0</v>
      </c>
    </row>
    <row r="369" spans="2:9" ht="15" customHeight="1">
      <c r="B369" s="406" t="s">
        <v>2492</v>
      </c>
      <c r="C369" s="1088" t="s">
        <v>2493</v>
      </c>
      <c r="D369" s="1124"/>
      <c r="E369" s="1124"/>
      <c r="F369" s="1124">
        <v>4</v>
      </c>
      <c r="G369" s="1124">
        <v>5</v>
      </c>
      <c r="H369" s="282">
        <f t="shared" si="18"/>
        <v>4</v>
      </c>
      <c r="I369" s="282">
        <f t="shared" si="17"/>
        <v>5</v>
      </c>
    </row>
    <row r="370" spans="2:9" ht="15" customHeight="1">
      <c r="B370" s="406" t="s">
        <v>2494</v>
      </c>
      <c r="C370" s="1088" t="s">
        <v>2495</v>
      </c>
      <c r="D370" s="1124"/>
      <c r="E370" s="1124"/>
      <c r="F370" s="1124">
        <v>1</v>
      </c>
      <c r="G370" s="1124">
        <v>1</v>
      </c>
      <c r="H370" s="282">
        <f t="shared" si="18"/>
        <v>1</v>
      </c>
      <c r="I370" s="282">
        <f t="shared" si="17"/>
        <v>1</v>
      </c>
    </row>
    <row r="371" spans="2:9" ht="15" customHeight="1">
      <c r="B371" s="500" t="s">
        <v>2496</v>
      </c>
      <c r="C371" s="501" t="s">
        <v>2497</v>
      </c>
      <c r="D371" s="1124"/>
      <c r="E371" s="1124"/>
      <c r="F371" s="1124">
        <v>7</v>
      </c>
      <c r="G371" s="1124">
        <v>10</v>
      </c>
      <c r="H371" s="282">
        <f t="shared" si="18"/>
        <v>7</v>
      </c>
      <c r="I371" s="282">
        <f t="shared" si="17"/>
        <v>10</v>
      </c>
    </row>
    <row r="372" spans="2:9" ht="15" customHeight="1">
      <c r="B372" s="500" t="s">
        <v>2498</v>
      </c>
      <c r="C372" s="501" t="s">
        <v>2499</v>
      </c>
      <c r="D372" s="1124"/>
      <c r="E372" s="1124"/>
      <c r="F372" s="1124">
        <v>1</v>
      </c>
      <c r="G372" s="1124">
        <v>1</v>
      </c>
      <c r="H372" s="282">
        <f t="shared" si="18"/>
        <v>1</v>
      </c>
      <c r="I372" s="282">
        <f t="shared" si="17"/>
        <v>1</v>
      </c>
    </row>
    <row r="373" spans="2:9" ht="15" customHeight="1">
      <c r="B373" s="500" t="s">
        <v>2500</v>
      </c>
      <c r="C373" s="501" t="s">
        <v>2501</v>
      </c>
      <c r="D373" s="1124"/>
      <c r="E373" s="1124"/>
      <c r="F373" s="1124"/>
      <c r="G373" s="1124">
        <v>1</v>
      </c>
      <c r="H373" s="282">
        <f t="shared" si="18"/>
        <v>0</v>
      </c>
      <c r="I373" s="282">
        <f t="shared" si="17"/>
        <v>1</v>
      </c>
    </row>
    <row r="374" spans="2:9" ht="15" customHeight="1">
      <c r="B374" s="500" t="s">
        <v>2502</v>
      </c>
      <c r="C374" s="505" t="s">
        <v>2503</v>
      </c>
      <c r="D374" s="1124"/>
      <c r="E374" s="1124"/>
      <c r="F374" s="1124"/>
      <c r="G374" s="1124">
        <v>1</v>
      </c>
      <c r="H374" s="282">
        <f t="shared" si="18"/>
        <v>0</v>
      </c>
      <c r="I374" s="282">
        <f t="shared" si="17"/>
        <v>1</v>
      </c>
    </row>
    <row r="375" spans="2:9" ht="15" customHeight="1">
      <c r="B375" s="500" t="s">
        <v>2504</v>
      </c>
      <c r="C375" s="501" t="s">
        <v>2505</v>
      </c>
      <c r="D375" s="1124"/>
      <c r="E375" s="1124"/>
      <c r="F375" s="1124">
        <v>1</v>
      </c>
      <c r="G375" s="1124">
        <v>1</v>
      </c>
      <c r="H375" s="282">
        <f t="shared" si="18"/>
        <v>1</v>
      </c>
      <c r="I375" s="282">
        <f t="shared" si="17"/>
        <v>1</v>
      </c>
    </row>
    <row r="376" spans="2:9" ht="15" customHeight="1">
      <c r="B376" s="500" t="s">
        <v>2506</v>
      </c>
      <c r="C376" s="505" t="s">
        <v>2507</v>
      </c>
      <c r="D376" s="1124"/>
      <c r="E376" s="1124"/>
      <c r="F376" s="1124"/>
      <c r="G376" s="1124">
        <v>1</v>
      </c>
      <c r="H376" s="282">
        <f t="shared" si="18"/>
        <v>0</v>
      </c>
      <c r="I376" s="282">
        <f t="shared" si="17"/>
        <v>1</v>
      </c>
    </row>
    <row r="377" spans="2:9" ht="15" customHeight="1">
      <c r="B377" s="500" t="s">
        <v>2508</v>
      </c>
      <c r="C377" s="506" t="s">
        <v>2509</v>
      </c>
      <c r="D377" s="1124"/>
      <c r="E377" s="1124"/>
      <c r="F377" s="1124"/>
      <c r="G377" s="1124"/>
      <c r="H377" s="282">
        <f t="shared" si="18"/>
        <v>0</v>
      </c>
      <c r="I377" s="282">
        <f t="shared" si="17"/>
        <v>0</v>
      </c>
    </row>
    <row r="378" spans="2:9" ht="15" customHeight="1">
      <c r="B378" s="500" t="s">
        <v>2510</v>
      </c>
      <c r="C378" s="506" t="s">
        <v>2511</v>
      </c>
      <c r="D378" s="1124"/>
      <c r="E378" s="1124"/>
      <c r="F378" s="477"/>
      <c r="G378" s="477">
        <v>1</v>
      </c>
      <c r="H378" s="282">
        <f t="shared" si="18"/>
        <v>0</v>
      </c>
      <c r="I378" s="282">
        <f t="shared" si="17"/>
        <v>1</v>
      </c>
    </row>
    <row r="379" spans="2:9" ht="15" customHeight="1">
      <c r="B379" s="500" t="s">
        <v>2512</v>
      </c>
      <c r="C379" s="507" t="s">
        <v>2513</v>
      </c>
      <c r="D379" s="1124"/>
      <c r="E379" s="1124"/>
      <c r="F379" s="1124"/>
      <c r="G379" s="1124"/>
      <c r="H379" s="282">
        <f t="shared" si="18"/>
        <v>0</v>
      </c>
      <c r="I379" s="282">
        <f t="shared" si="17"/>
        <v>0</v>
      </c>
    </row>
    <row r="380" spans="2:9" ht="15" customHeight="1">
      <c r="B380" s="500" t="s">
        <v>2514</v>
      </c>
      <c r="C380" s="508" t="s">
        <v>2515</v>
      </c>
      <c r="D380" s="1124"/>
      <c r="E380" s="1124"/>
      <c r="F380" s="1124"/>
      <c r="G380" s="1124">
        <v>1</v>
      </c>
      <c r="H380" s="282">
        <f t="shared" si="18"/>
        <v>0</v>
      </c>
      <c r="I380" s="282">
        <f t="shared" si="17"/>
        <v>1</v>
      </c>
    </row>
    <row r="381" spans="2:9" ht="15" customHeight="1">
      <c r="B381" s="500" t="s">
        <v>2516</v>
      </c>
      <c r="C381" s="508" t="s">
        <v>2517</v>
      </c>
      <c r="D381" s="1124"/>
      <c r="E381" s="1124"/>
      <c r="F381" s="1124">
        <v>1</v>
      </c>
      <c r="G381" s="1124">
        <v>1</v>
      </c>
      <c r="H381" s="282">
        <f t="shared" si="18"/>
        <v>1</v>
      </c>
      <c r="I381" s="282">
        <f t="shared" si="17"/>
        <v>1</v>
      </c>
    </row>
    <row r="382" spans="2:9" ht="15" customHeight="1">
      <c r="B382" s="509" t="s">
        <v>2</v>
      </c>
      <c r="C382" s="510"/>
      <c r="D382" s="423">
        <f>SUM(D322:D381)</f>
        <v>0</v>
      </c>
      <c r="E382" s="423">
        <f>SUM(E322:E381)</f>
        <v>0</v>
      </c>
      <c r="F382" s="423">
        <f>SUM(F322:F381)</f>
        <v>407</v>
      </c>
      <c r="G382" s="423">
        <f>SUM(G322:G381)</f>
        <v>447</v>
      </c>
      <c r="H382" s="424">
        <f t="shared" si="18"/>
        <v>407</v>
      </c>
      <c r="I382" s="424">
        <f>SUM(I322:I381)</f>
        <v>447</v>
      </c>
    </row>
    <row r="383" spans="2:9" ht="15" customHeight="1">
      <c r="B383" s="438"/>
      <c r="C383" s="511" t="s">
        <v>2518</v>
      </c>
      <c r="D383" s="440"/>
      <c r="E383" s="440"/>
      <c r="F383" s="440"/>
      <c r="G383" s="440"/>
      <c r="H383" s="440"/>
      <c r="I383" s="440"/>
    </row>
    <row r="384" spans="2:9" ht="15" customHeight="1">
      <c r="B384" s="406" t="s">
        <v>2400</v>
      </c>
      <c r="C384" s="406" t="s">
        <v>2401</v>
      </c>
      <c r="D384" s="1229">
        <v>12</v>
      </c>
      <c r="E384" s="1229">
        <v>15</v>
      </c>
      <c r="F384" s="1229">
        <v>3</v>
      </c>
      <c r="G384" s="1229">
        <v>10</v>
      </c>
      <c r="H384" s="282">
        <f>D384+F384</f>
        <v>15</v>
      </c>
      <c r="I384" s="282">
        <f>E384+G384</f>
        <v>25</v>
      </c>
    </row>
    <row r="385" spans="2:9" ht="15" customHeight="1">
      <c r="B385" s="406" t="s">
        <v>2279</v>
      </c>
      <c r="C385" s="1088" t="s">
        <v>2280</v>
      </c>
      <c r="D385" s="1124">
        <v>149</v>
      </c>
      <c r="E385" s="1124">
        <v>149</v>
      </c>
      <c r="F385" s="1124">
        <v>1</v>
      </c>
      <c r="G385" s="1124">
        <v>1</v>
      </c>
      <c r="H385" s="282">
        <f t="shared" ref="H385:I418" si="19">D385+F385</f>
        <v>150</v>
      </c>
      <c r="I385" s="282">
        <f t="shared" si="19"/>
        <v>150</v>
      </c>
    </row>
    <row r="386" spans="2:9" ht="15" customHeight="1">
      <c r="B386" s="406" t="s">
        <v>2281</v>
      </c>
      <c r="C386" s="1088" t="s">
        <v>2519</v>
      </c>
      <c r="D386" s="1124">
        <v>2</v>
      </c>
      <c r="E386" s="1124">
        <v>2</v>
      </c>
      <c r="F386" s="1124"/>
      <c r="G386" s="1124"/>
      <c r="H386" s="282">
        <f t="shared" si="19"/>
        <v>2</v>
      </c>
      <c r="I386" s="282">
        <f t="shared" si="19"/>
        <v>2</v>
      </c>
    </row>
    <row r="387" spans="2:9" ht="15" customHeight="1">
      <c r="B387" s="500" t="s">
        <v>2283</v>
      </c>
      <c r="C387" s="501" t="s">
        <v>2284</v>
      </c>
      <c r="D387" s="1124">
        <v>2</v>
      </c>
      <c r="E387" s="1124">
        <v>2</v>
      </c>
      <c r="F387" s="1124"/>
      <c r="G387" s="1124"/>
      <c r="H387" s="282">
        <f t="shared" si="19"/>
        <v>2</v>
      </c>
      <c r="I387" s="282">
        <f t="shared" si="19"/>
        <v>2</v>
      </c>
    </row>
    <row r="388" spans="2:9" ht="15" customHeight="1">
      <c r="B388" s="500" t="s">
        <v>2294</v>
      </c>
      <c r="C388" s="501" t="s">
        <v>2295</v>
      </c>
      <c r="D388" s="1124">
        <v>3</v>
      </c>
      <c r="E388" s="1124">
        <v>3</v>
      </c>
      <c r="F388" s="1124">
        <v>6</v>
      </c>
      <c r="G388" s="1124">
        <v>5</v>
      </c>
      <c r="H388" s="282">
        <f t="shared" si="19"/>
        <v>9</v>
      </c>
      <c r="I388" s="282">
        <f t="shared" si="19"/>
        <v>8</v>
      </c>
    </row>
    <row r="389" spans="2:9" ht="15" customHeight="1">
      <c r="B389" s="500" t="s">
        <v>2298</v>
      </c>
      <c r="C389" s="501" t="s">
        <v>2299</v>
      </c>
      <c r="D389" s="1124">
        <v>1</v>
      </c>
      <c r="E389" s="1124">
        <v>1</v>
      </c>
      <c r="F389" s="1124">
        <v>245</v>
      </c>
      <c r="G389" s="1124">
        <v>240</v>
      </c>
      <c r="H389" s="282">
        <f t="shared" si="19"/>
        <v>246</v>
      </c>
      <c r="I389" s="282">
        <f t="shared" si="19"/>
        <v>241</v>
      </c>
    </row>
    <row r="390" spans="2:9" ht="15" customHeight="1">
      <c r="B390" s="406" t="s">
        <v>2405</v>
      </c>
      <c r="C390" s="1088" t="s">
        <v>2406</v>
      </c>
      <c r="D390" s="1229"/>
      <c r="E390" s="1229"/>
      <c r="F390" s="1229"/>
      <c r="G390" s="1229"/>
      <c r="H390" s="282">
        <f t="shared" si="19"/>
        <v>0</v>
      </c>
      <c r="I390" s="282">
        <f t="shared" si="19"/>
        <v>0</v>
      </c>
    </row>
    <row r="391" spans="2:9" ht="15" customHeight="1">
      <c r="B391" s="406" t="s">
        <v>2407</v>
      </c>
      <c r="C391" s="1088" t="s">
        <v>2408</v>
      </c>
      <c r="D391" s="1229"/>
      <c r="E391" s="1229"/>
      <c r="F391" s="1229"/>
      <c r="G391" s="1229"/>
      <c r="H391" s="282">
        <f t="shared" si="19"/>
        <v>0</v>
      </c>
      <c r="I391" s="282">
        <f t="shared" si="19"/>
        <v>0</v>
      </c>
    </row>
    <row r="392" spans="2:9" ht="15" customHeight="1">
      <c r="B392" s="500" t="s">
        <v>2520</v>
      </c>
      <c r="C392" s="501" t="s">
        <v>2521</v>
      </c>
      <c r="D392" s="1124"/>
      <c r="E392" s="1124"/>
      <c r="F392" s="1124">
        <v>2</v>
      </c>
      <c r="G392" s="1124">
        <v>2</v>
      </c>
      <c r="H392" s="282">
        <f t="shared" si="19"/>
        <v>2</v>
      </c>
      <c r="I392" s="282">
        <f t="shared" si="19"/>
        <v>2</v>
      </c>
    </row>
    <row r="393" spans="2:9" ht="15" customHeight="1">
      <c r="B393" s="500" t="s">
        <v>2522</v>
      </c>
      <c r="C393" s="501" t="s">
        <v>2523</v>
      </c>
      <c r="D393" s="1124"/>
      <c r="E393" s="1124"/>
      <c r="F393" s="1124"/>
      <c r="G393" s="1124">
        <v>1</v>
      </c>
      <c r="H393" s="282">
        <f t="shared" si="19"/>
        <v>0</v>
      </c>
      <c r="I393" s="282">
        <f t="shared" si="19"/>
        <v>1</v>
      </c>
    </row>
    <row r="394" spans="2:9" ht="15" customHeight="1">
      <c r="B394" s="500" t="s">
        <v>2524</v>
      </c>
      <c r="C394" s="501" t="s">
        <v>2525</v>
      </c>
      <c r="D394" s="1124"/>
      <c r="E394" s="1124"/>
      <c r="F394" s="1124"/>
      <c r="G394" s="1124">
        <v>1</v>
      </c>
      <c r="H394" s="282">
        <f t="shared" si="19"/>
        <v>0</v>
      </c>
      <c r="I394" s="282">
        <f t="shared" si="19"/>
        <v>1</v>
      </c>
    </row>
    <row r="395" spans="2:9" ht="15" customHeight="1">
      <c r="B395" s="500" t="s">
        <v>2320</v>
      </c>
      <c r="C395" s="501" t="s">
        <v>2526</v>
      </c>
      <c r="D395" s="1124"/>
      <c r="E395" s="1124"/>
      <c r="F395" s="1124">
        <v>2</v>
      </c>
      <c r="G395" s="1124">
        <v>2</v>
      </c>
      <c r="H395" s="282">
        <f t="shared" si="19"/>
        <v>2</v>
      </c>
      <c r="I395" s="282">
        <f t="shared" si="19"/>
        <v>2</v>
      </c>
    </row>
    <row r="396" spans="2:9" ht="15" customHeight="1">
      <c r="B396" s="500" t="s">
        <v>2527</v>
      </c>
      <c r="C396" s="501" t="s">
        <v>2528</v>
      </c>
      <c r="D396" s="1124"/>
      <c r="E396" s="1124"/>
      <c r="F396" s="1124"/>
      <c r="G396" s="1124"/>
      <c r="H396" s="282">
        <f t="shared" si="19"/>
        <v>0</v>
      </c>
      <c r="I396" s="282">
        <f t="shared" si="19"/>
        <v>0</v>
      </c>
    </row>
    <row r="397" spans="2:9" ht="15" customHeight="1">
      <c r="B397" s="500" t="s">
        <v>2529</v>
      </c>
      <c r="C397" s="501" t="s">
        <v>2530</v>
      </c>
      <c r="D397" s="1124"/>
      <c r="E397" s="1124"/>
      <c r="F397" s="1124"/>
      <c r="G397" s="1124"/>
      <c r="H397" s="282">
        <f t="shared" si="19"/>
        <v>0</v>
      </c>
      <c r="I397" s="282">
        <f t="shared" si="19"/>
        <v>0</v>
      </c>
    </row>
    <row r="398" spans="2:9" ht="15" customHeight="1">
      <c r="B398" s="500" t="s">
        <v>2531</v>
      </c>
      <c r="C398" s="501" t="s">
        <v>2532</v>
      </c>
      <c r="D398" s="1124"/>
      <c r="E398" s="1124"/>
      <c r="F398" s="1124"/>
      <c r="G398" s="1124">
        <v>1</v>
      </c>
      <c r="H398" s="1123">
        <f t="shared" si="19"/>
        <v>0</v>
      </c>
      <c r="I398" s="1123">
        <f t="shared" si="19"/>
        <v>1</v>
      </c>
    </row>
    <row r="399" spans="2:9" ht="15" customHeight="1">
      <c r="B399" s="500" t="s">
        <v>2533</v>
      </c>
      <c r="C399" s="501" t="s">
        <v>2534</v>
      </c>
      <c r="D399" s="1124"/>
      <c r="E399" s="1124"/>
      <c r="F399" s="1124"/>
      <c r="G399" s="1124">
        <v>1</v>
      </c>
      <c r="H399" s="282">
        <f t="shared" si="19"/>
        <v>0</v>
      </c>
      <c r="I399" s="282">
        <f t="shared" si="19"/>
        <v>1</v>
      </c>
    </row>
    <row r="400" spans="2:9" ht="15" customHeight="1">
      <c r="B400" s="500" t="s">
        <v>2535</v>
      </c>
      <c r="C400" s="501" t="s">
        <v>2536</v>
      </c>
      <c r="D400" s="1124"/>
      <c r="E400" s="1124"/>
      <c r="F400" s="1124"/>
      <c r="G400" s="1124"/>
      <c r="H400" s="282">
        <f t="shared" si="19"/>
        <v>0</v>
      </c>
      <c r="I400" s="282">
        <f t="shared" si="19"/>
        <v>0</v>
      </c>
    </row>
    <row r="401" spans="2:9" ht="15" customHeight="1">
      <c r="B401" s="406" t="s">
        <v>2537</v>
      </c>
      <c r="C401" s="1088" t="s">
        <v>2538</v>
      </c>
      <c r="D401" s="1124"/>
      <c r="E401" s="1124"/>
      <c r="F401" s="1124"/>
      <c r="G401" s="1124">
        <v>1</v>
      </c>
      <c r="H401" s="1123">
        <f t="shared" si="19"/>
        <v>0</v>
      </c>
      <c r="I401" s="1123">
        <f t="shared" si="19"/>
        <v>1</v>
      </c>
    </row>
    <row r="402" spans="2:9" ht="15" customHeight="1">
      <c r="B402" s="500" t="s">
        <v>2539</v>
      </c>
      <c r="C402" s="501" t="s">
        <v>2540</v>
      </c>
      <c r="D402" s="1124"/>
      <c r="E402" s="1124"/>
      <c r="F402" s="1124"/>
      <c r="G402" s="1124">
        <v>1</v>
      </c>
      <c r="H402" s="282">
        <f t="shared" si="19"/>
        <v>0</v>
      </c>
      <c r="I402" s="282">
        <f t="shared" si="19"/>
        <v>1</v>
      </c>
    </row>
    <row r="403" spans="2:9" ht="15" customHeight="1">
      <c r="B403" s="500" t="s">
        <v>2541</v>
      </c>
      <c r="C403" s="501" t="s">
        <v>2542</v>
      </c>
      <c r="D403" s="1124"/>
      <c r="E403" s="1124"/>
      <c r="F403" s="1124"/>
      <c r="G403" s="1124">
        <v>1</v>
      </c>
      <c r="H403" s="282">
        <f t="shared" si="19"/>
        <v>0</v>
      </c>
      <c r="I403" s="282">
        <f t="shared" si="19"/>
        <v>1</v>
      </c>
    </row>
    <row r="404" spans="2:9" ht="15" customHeight="1">
      <c r="B404" s="500" t="s">
        <v>2543</v>
      </c>
      <c r="C404" s="501" t="s">
        <v>2544</v>
      </c>
      <c r="D404" s="1124"/>
      <c r="E404" s="1124"/>
      <c r="F404" s="1124"/>
      <c r="G404" s="1124">
        <v>1</v>
      </c>
      <c r="H404" s="1123">
        <f t="shared" si="19"/>
        <v>0</v>
      </c>
      <c r="I404" s="1123">
        <f t="shared" si="19"/>
        <v>1</v>
      </c>
    </row>
    <row r="405" spans="2:9" ht="15" customHeight="1">
      <c r="B405" s="500" t="s">
        <v>2545</v>
      </c>
      <c r="C405" s="501" t="s">
        <v>2546</v>
      </c>
      <c r="D405" s="1124"/>
      <c r="E405" s="1124"/>
      <c r="F405" s="1124"/>
      <c r="G405" s="1124">
        <v>1</v>
      </c>
      <c r="H405" s="282">
        <f t="shared" si="19"/>
        <v>0</v>
      </c>
      <c r="I405" s="282">
        <f t="shared" si="19"/>
        <v>1</v>
      </c>
    </row>
    <row r="406" spans="2:9" ht="15" customHeight="1">
      <c r="B406" s="500" t="s">
        <v>2322</v>
      </c>
      <c r="C406" s="501" t="s">
        <v>2547</v>
      </c>
      <c r="D406" s="1124">
        <v>268</v>
      </c>
      <c r="E406" s="1124">
        <v>268</v>
      </c>
      <c r="F406" s="1124">
        <v>1</v>
      </c>
      <c r="G406" s="1124">
        <v>1</v>
      </c>
      <c r="H406" s="282">
        <f t="shared" si="19"/>
        <v>269</v>
      </c>
      <c r="I406" s="282">
        <f t="shared" si="19"/>
        <v>269</v>
      </c>
    </row>
    <row r="407" spans="2:9" ht="15" customHeight="1">
      <c r="B407" s="500" t="s">
        <v>2548</v>
      </c>
      <c r="C407" s="501" t="s">
        <v>2549</v>
      </c>
      <c r="D407" s="1124">
        <v>29</v>
      </c>
      <c r="E407" s="1124">
        <v>30</v>
      </c>
      <c r="F407" s="1124"/>
      <c r="G407" s="1124"/>
      <c r="H407" s="282">
        <f t="shared" si="19"/>
        <v>29</v>
      </c>
      <c r="I407" s="282">
        <f t="shared" si="19"/>
        <v>30</v>
      </c>
    </row>
    <row r="408" spans="2:9" ht="15" customHeight="1">
      <c r="B408" s="500" t="s">
        <v>2324</v>
      </c>
      <c r="C408" s="501" t="s">
        <v>2550</v>
      </c>
      <c r="D408" s="1124">
        <v>74</v>
      </c>
      <c r="E408" s="1124">
        <v>70</v>
      </c>
      <c r="F408" s="1124"/>
      <c r="G408" s="1124"/>
      <c r="H408" s="282">
        <f t="shared" si="19"/>
        <v>74</v>
      </c>
      <c r="I408" s="282">
        <f t="shared" si="19"/>
        <v>70</v>
      </c>
    </row>
    <row r="409" spans="2:9" ht="15" customHeight="1">
      <c r="B409" s="500" t="s">
        <v>2551</v>
      </c>
      <c r="C409" s="501" t="s">
        <v>2552</v>
      </c>
      <c r="D409" s="1124"/>
      <c r="E409" s="1124">
        <v>1</v>
      </c>
      <c r="F409" s="1124"/>
      <c r="G409" s="1124"/>
      <c r="H409" s="282">
        <f t="shared" si="19"/>
        <v>0</v>
      </c>
      <c r="I409" s="282">
        <f t="shared" si="19"/>
        <v>1</v>
      </c>
    </row>
    <row r="410" spans="2:9" ht="15" customHeight="1">
      <c r="B410" s="500" t="s">
        <v>2553</v>
      </c>
      <c r="C410" s="501" t="s">
        <v>2554</v>
      </c>
      <c r="D410" s="1124"/>
      <c r="E410" s="1124"/>
      <c r="F410" s="1124"/>
      <c r="G410" s="1124"/>
      <c r="H410" s="282">
        <f t="shared" si="19"/>
        <v>0</v>
      </c>
      <c r="I410" s="282">
        <f t="shared" si="19"/>
        <v>0</v>
      </c>
    </row>
    <row r="411" spans="2:9" ht="15" customHeight="1">
      <c r="B411" s="500" t="s">
        <v>2555</v>
      </c>
      <c r="C411" s="501" t="s">
        <v>2556</v>
      </c>
      <c r="D411" s="1124">
        <v>19</v>
      </c>
      <c r="E411" s="1124">
        <v>20</v>
      </c>
      <c r="F411" s="1124"/>
      <c r="G411" s="1124"/>
      <c r="H411" s="282">
        <f t="shared" si="19"/>
        <v>19</v>
      </c>
      <c r="I411" s="282">
        <f t="shared" si="19"/>
        <v>20</v>
      </c>
    </row>
    <row r="412" spans="2:9" ht="15" customHeight="1">
      <c r="B412" s="500" t="s">
        <v>2557</v>
      </c>
      <c r="C412" s="501" t="s">
        <v>2558</v>
      </c>
      <c r="D412" s="1124">
        <v>13</v>
      </c>
      <c r="E412" s="1124">
        <v>15</v>
      </c>
      <c r="F412" s="1124"/>
      <c r="G412" s="1124"/>
      <c r="H412" s="282">
        <f t="shared" si="19"/>
        <v>13</v>
      </c>
      <c r="I412" s="282">
        <f t="shared" si="19"/>
        <v>15</v>
      </c>
    </row>
    <row r="413" spans="2:9" ht="15" customHeight="1">
      <c r="B413" s="500" t="s">
        <v>2559</v>
      </c>
      <c r="C413" s="501" t="s">
        <v>2560</v>
      </c>
      <c r="D413" s="1124">
        <v>1</v>
      </c>
      <c r="E413" s="1124">
        <v>1</v>
      </c>
      <c r="F413" s="1124"/>
      <c r="G413" s="1124"/>
      <c r="H413" s="282">
        <f t="shared" si="19"/>
        <v>1</v>
      </c>
      <c r="I413" s="282">
        <f t="shared" si="19"/>
        <v>1</v>
      </c>
    </row>
    <row r="414" spans="2:9" ht="15" customHeight="1">
      <c r="B414" s="500" t="s">
        <v>2561</v>
      </c>
      <c r="C414" s="501" t="s">
        <v>2562</v>
      </c>
      <c r="D414" s="1124"/>
      <c r="E414" s="1124"/>
      <c r="F414" s="1124"/>
      <c r="G414" s="1124"/>
      <c r="H414" s="282">
        <f t="shared" si="19"/>
        <v>0</v>
      </c>
      <c r="I414" s="282">
        <f t="shared" si="19"/>
        <v>0</v>
      </c>
    </row>
    <row r="415" spans="2:9" ht="15" customHeight="1">
      <c r="B415" s="500" t="s">
        <v>2563</v>
      </c>
      <c r="C415" s="501" t="s">
        <v>2564</v>
      </c>
      <c r="D415" s="1124">
        <v>4</v>
      </c>
      <c r="E415" s="1124">
        <v>2</v>
      </c>
      <c r="F415" s="1124"/>
      <c r="G415" s="1124"/>
      <c r="H415" s="282">
        <f t="shared" si="19"/>
        <v>4</v>
      </c>
      <c r="I415" s="282">
        <f t="shared" si="19"/>
        <v>2</v>
      </c>
    </row>
    <row r="416" spans="2:9" ht="15" customHeight="1">
      <c r="B416" s="500" t="s">
        <v>2565</v>
      </c>
      <c r="C416" s="501" t="s">
        <v>2566</v>
      </c>
      <c r="D416" s="1124">
        <v>2</v>
      </c>
      <c r="E416" s="1124">
        <v>1</v>
      </c>
      <c r="F416" s="1124"/>
      <c r="G416" s="1124"/>
      <c r="H416" s="282">
        <f t="shared" si="19"/>
        <v>2</v>
      </c>
      <c r="I416" s="282">
        <f t="shared" si="19"/>
        <v>1</v>
      </c>
    </row>
    <row r="417" spans="2:9" ht="15" customHeight="1">
      <c r="B417" s="500" t="s">
        <v>2567</v>
      </c>
      <c r="C417" s="501" t="s">
        <v>2568</v>
      </c>
      <c r="D417" s="1124">
        <v>3</v>
      </c>
      <c r="E417" s="1124">
        <v>2</v>
      </c>
      <c r="F417" s="1124"/>
      <c r="G417" s="1124"/>
      <c r="H417" s="282">
        <f t="shared" si="19"/>
        <v>3</v>
      </c>
      <c r="I417" s="282">
        <f t="shared" si="19"/>
        <v>2</v>
      </c>
    </row>
    <row r="418" spans="2:9" ht="15" customHeight="1">
      <c r="B418" s="500" t="s">
        <v>2569</v>
      </c>
      <c r="C418" s="501" t="s">
        <v>2570</v>
      </c>
      <c r="D418" s="1124">
        <v>6</v>
      </c>
      <c r="E418" s="1124">
        <v>5</v>
      </c>
      <c r="F418" s="1124"/>
      <c r="G418" s="1124"/>
      <c r="H418" s="282">
        <f t="shared" si="19"/>
        <v>6</v>
      </c>
      <c r="I418" s="282">
        <f t="shared" si="19"/>
        <v>5</v>
      </c>
    </row>
    <row r="419" spans="2:9" ht="15" customHeight="1">
      <c r="B419" s="500" t="s">
        <v>2571</v>
      </c>
      <c r="C419" s="501" t="s">
        <v>2572</v>
      </c>
      <c r="D419" s="1124">
        <v>3</v>
      </c>
      <c r="E419" s="1124">
        <v>3</v>
      </c>
      <c r="F419" s="1124"/>
      <c r="G419" s="1124"/>
      <c r="H419" s="282">
        <f t="shared" ref="H419:I451" si="20">D419+F419</f>
        <v>3</v>
      </c>
      <c r="I419" s="282">
        <f t="shared" si="20"/>
        <v>3</v>
      </c>
    </row>
    <row r="420" spans="2:9" ht="15" customHeight="1">
      <c r="B420" s="500" t="s">
        <v>2573</v>
      </c>
      <c r="C420" s="501" t="s">
        <v>2574</v>
      </c>
      <c r="D420" s="1124"/>
      <c r="E420" s="1124">
        <v>1</v>
      </c>
      <c r="F420" s="1124"/>
      <c r="G420" s="1124"/>
      <c r="H420" s="282">
        <f t="shared" si="20"/>
        <v>0</v>
      </c>
      <c r="I420" s="282">
        <f t="shared" si="20"/>
        <v>1</v>
      </c>
    </row>
    <row r="421" spans="2:9" ht="15" customHeight="1">
      <c r="B421" s="500" t="s">
        <v>2575</v>
      </c>
      <c r="C421" s="501" t="s">
        <v>2576</v>
      </c>
      <c r="D421" s="1124">
        <v>1</v>
      </c>
      <c r="E421" s="1124">
        <v>1</v>
      </c>
      <c r="F421" s="1124"/>
      <c r="G421" s="1124"/>
      <c r="H421" s="282">
        <f t="shared" si="20"/>
        <v>1</v>
      </c>
      <c r="I421" s="282">
        <f t="shared" si="20"/>
        <v>1</v>
      </c>
    </row>
    <row r="422" spans="2:9" ht="15" customHeight="1">
      <c r="B422" s="500" t="s">
        <v>2577</v>
      </c>
      <c r="C422" s="501" t="s">
        <v>2578</v>
      </c>
      <c r="D422" s="1124">
        <v>25</v>
      </c>
      <c r="E422" s="1124">
        <v>25</v>
      </c>
      <c r="F422" s="1124"/>
      <c r="G422" s="1124"/>
      <c r="H422" s="282">
        <f t="shared" si="20"/>
        <v>25</v>
      </c>
      <c r="I422" s="282">
        <f t="shared" si="20"/>
        <v>25</v>
      </c>
    </row>
    <row r="423" spans="2:9" ht="15" customHeight="1">
      <c r="B423" s="500" t="s">
        <v>2579</v>
      </c>
      <c r="C423" s="501" t="s">
        <v>2580</v>
      </c>
      <c r="D423" s="1124"/>
      <c r="E423" s="1124"/>
      <c r="F423" s="1124"/>
      <c r="G423" s="1124"/>
      <c r="H423" s="282">
        <f t="shared" si="20"/>
        <v>0</v>
      </c>
      <c r="I423" s="282">
        <f t="shared" si="20"/>
        <v>0</v>
      </c>
    </row>
    <row r="424" spans="2:9" ht="15" customHeight="1">
      <c r="B424" s="500" t="s">
        <v>2581</v>
      </c>
      <c r="C424" s="501" t="s">
        <v>2582</v>
      </c>
      <c r="D424" s="1124"/>
      <c r="E424" s="1124"/>
      <c r="F424" s="1124">
        <v>1</v>
      </c>
      <c r="G424" s="1124"/>
      <c r="H424" s="282">
        <f t="shared" si="20"/>
        <v>1</v>
      </c>
      <c r="I424" s="282">
        <f t="shared" si="20"/>
        <v>0</v>
      </c>
    </row>
    <row r="425" spans="2:9" ht="15" customHeight="1">
      <c r="B425" s="500" t="s">
        <v>2583</v>
      </c>
      <c r="C425" s="501" t="s">
        <v>2584</v>
      </c>
      <c r="D425" s="1124"/>
      <c r="E425" s="1124"/>
      <c r="F425" s="1124"/>
      <c r="G425" s="1124">
        <v>2</v>
      </c>
      <c r="H425" s="282">
        <f t="shared" si="20"/>
        <v>0</v>
      </c>
      <c r="I425" s="282">
        <f t="shared" si="20"/>
        <v>2</v>
      </c>
    </row>
    <row r="426" spans="2:9" ht="15" customHeight="1">
      <c r="B426" s="500" t="s">
        <v>2585</v>
      </c>
      <c r="C426" s="506" t="s">
        <v>2586</v>
      </c>
      <c r="D426" s="1124"/>
      <c r="E426" s="1124">
        <v>1</v>
      </c>
      <c r="F426" s="1124"/>
      <c r="G426" s="1124"/>
      <c r="H426" s="282">
        <f t="shared" si="20"/>
        <v>0</v>
      </c>
      <c r="I426" s="282">
        <f t="shared" si="20"/>
        <v>1</v>
      </c>
    </row>
    <row r="427" spans="2:9" ht="15" customHeight="1">
      <c r="B427" s="500" t="s">
        <v>2587</v>
      </c>
      <c r="C427" s="506" t="s">
        <v>2588</v>
      </c>
      <c r="D427" s="1124"/>
      <c r="E427" s="1124"/>
      <c r="F427" s="1124"/>
      <c r="G427" s="1124"/>
      <c r="H427" s="282">
        <f t="shared" si="20"/>
        <v>0</v>
      </c>
      <c r="I427" s="282">
        <f t="shared" si="20"/>
        <v>0</v>
      </c>
    </row>
    <row r="428" spans="2:9" ht="15" customHeight="1">
      <c r="B428" s="500" t="s">
        <v>2589</v>
      </c>
      <c r="C428" s="501" t="s">
        <v>2590</v>
      </c>
      <c r="D428" s="1124"/>
      <c r="E428" s="1124"/>
      <c r="F428" s="1124"/>
      <c r="G428" s="1124"/>
      <c r="H428" s="282">
        <f t="shared" si="20"/>
        <v>0</v>
      </c>
      <c r="I428" s="282">
        <f t="shared" si="20"/>
        <v>0</v>
      </c>
    </row>
    <row r="429" spans="2:9" ht="15" customHeight="1">
      <c r="B429" s="500" t="s">
        <v>2591</v>
      </c>
      <c r="C429" s="501" t="s">
        <v>2592</v>
      </c>
      <c r="D429" s="1124"/>
      <c r="E429" s="1124">
        <v>1</v>
      </c>
      <c r="F429" s="1124"/>
      <c r="G429" s="1124"/>
      <c r="H429" s="282">
        <f t="shared" si="20"/>
        <v>0</v>
      </c>
      <c r="I429" s="282">
        <f t="shared" si="20"/>
        <v>1</v>
      </c>
    </row>
    <row r="430" spans="2:9" ht="15" customHeight="1">
      <c r="B430" s="500" t="s">
        <v>2593</v>
      </c>
      <c r="C430" s="508" t="s">
        <v>2594</v>
      </c>
      <c r="D430" s="1124"/>
      <c r="E430" s="1124"/>
      <c r="F430" s="1124"/>
      <c r="G430" s="1124"/>
      <c r="H430" s="282">
        <f t="shared" si="20"/>
        <v>0</v>
      </c>
      <c r="I430" s="282">
        <f t="shared" si="20"/>
        <v>0</v>
      </c>
    </row>
    <row r="431" spans="2:9" ht="15" customHeight="1">
      <c r="B431" s="500" t="s">
        <v>2595</v>
      </c>
      <c r="C431" s="508" t="s">
        <v>2596</v>
      </c>
      <c r="D431" s="1124">
        <v>9</v>
      </c>
      <c r="E431" s="1124">
        <v>9</v>
      </c>
      <c r="F431" s="1124">
        <v>1</v>
      </c>
      <c r="G431" s="1124">
        <v>1</v>
      </c>
      <c r="H431" s="282">
        <f t="shared" si="20"/>
        <v>10</v>
      </c>
      <c r="I431" s="282">
        <f t="shared" si="20"/>
        <v>10</v>
      </c>
    </row>
    <row r="432" spans="2:9" ht="15" customHeight="1">
      <c r="B432" s="500" t="s">
        <v>2597</v>
      </c>
      <c r="C432" s="508" t="s">
        <v>2598</v>
      </c>
      <c r="D432" s="1124">
        <v>55</v>
      </c>
      <c r="E432" s="1124">
        <v>55</v>
      </c>
      <c r="F432" s="1124">
        <v>2</v>
      </c>
      <c r="G432" s="1124">
        <v>2</v>
      </c>
      <c r="H432" s="282">
        <f t="shared" si="20"/>
        <v>57</v>
      </c>
      <c r="I432" s="282">
        <f t="shared" si="20"/>
        <v>57</v>
      </c>
    </row>
    <row r="433" spans="2:9" ht="15" customHeight="1">
      <c r="B433" s="500" t="s">
        <v>2599</v>
      </c>
      <c r="C433" s="500" t="s">
        <v>2600</v>
      </c>
      <c r="D433" s="1124">
        <v>238</v>
      </c>
      <c r="E433" s="1124">
        <v>238</v>
      </c>
      <c r="F433" s="1124">
        <v>3</v>
      </c>
      <c r="G433" s="1124">
        <v>3</v>
      </c>
      <c r="H433" s="282">
        <f t="shared" si="20"/>
        <v>241</v>
      </c>
      <c r="I433" s="282">
        <f t="shared" si="20"/>
        <v>241</v>
      </c>
    </row>
    <row r="434" spans="2:9" ht="15" customHeight="1">
      <c r="B434" s="500" t="s">
        <v>2601</v>
      </c>
      <c r="C434" s="500" t="s">
        <v>2602</v>
      </c>
      <c r="D434" s="1124">
        <v>30</v>
      </c>
      <c r="E434" s="1124">
        <v>30</v>
      </c>
      <c r="F434" s="1124"/>
      <c r="G434" s="1124"/>
      <c r="H434" s="282">
        <f t="shared" si="20"/>
        <v>30</v>
      </c>
      <c r="I434" s="282">
        <f t="shared" si="20"/>
        <v>30</v>
      </c>
    </row>
    <row r="435" spans="2:9" ht="15" customHeight="1">
      <c r="B435" s="500" t="s">
        <v>2603</v>
      </c>
      <c r="C435" s="501" t="s">
        <v>2604</v>
      </c>
      <c r="D435" s="1124"/>
      <c r="E435" s="1124"/>
      <c r="F435" s="1124"/>
      <c r="G435" s="1124"/>
      <c r="H435" s="282">
        <f t="shared" si="20"/>
        <v>0</v>
      </c>
      <c r="I435" s="282">
        <f t="shared" si="20"/>
        <v>0</v>
      </c>
    </row>
    <row r="436" spans="2:9" ht="15" customHeight="1">
      <c r="B436" s="500" t="s">
        <v>2605</v>
      </c>
      <c r="C436" s="501" t="s">
        <v>2606</v>
      </c>
      <c r="D436" s="1124">
        <v>5</v>
      </c>
      <c r="E436" s="1124">
        <v>5</v>
      </c>
      <c r="F436" s="1124"/>
      <c r="G436" s="1124"/>
      <c r="H436" s="282">
        <f t="shared" si="20"/>
        <v>5</v>
      </c>
      <c r="I436" s="282">
        <f t="shared" si="20"/>
        <v>5</v>
      </c>
    </row>
    <row r="437" spans="2:9" ht="15" customHeight="1">
      <c r="B437" s="500" t="s">
        <v>2607</v>
      </c>
      <c r="C437" s="501" t="s">
        <v>2608</v>
      </c>
      <c r="D437" s="1124"/>
      <c r="E437" s="1124">
        <v>1</v>
      </c>
      <c r="F437" s="1124"/>
      <c r="G437" s="1124"/>
      <c r="H437" s="282">
        <f t="shared" si="20"/>
        <v>0</v>
      </c>
      <c r="I437" s="282">
        <f t="shared" si="20"/>
        <v>1</v>
      </c>
    </row>
    <row r="438" spans="2:9" ht="15" customHeight="1">
      <c r="B438" s="500" t="s">
        <v>2609</v>
      </c>
      <c r="C438" s="501" t="s">
        <v>2610</v>
      </c>
      <c r="D438" s="1124"/>
      <c r="E438" s="1124"/>
      <c r="F438" s="1124"/>
      <c r="G438" s="1124"/>
      <c r="H438" s="282">
        <f t="shared" si="20"/>
        <v>0</v>
      </c>
      <c r="I438" s="282">
        <f t="shared" si="20"/>
        <v>0</v>
      </c>
    </row>
    <row r="439" spans="2:9" ht="15" customHeight="1">
      <c r="B439" s="500" t="s">
        <v>2611</v>
      </c>
      <c r="C439" s="506" t="s">
        <v>2612</v>
      </c>
      <c r="D439" s="1124"/>
      <c r="E439" s="1124"/>
      <c r="F439" s="1124"/>
      <c r="G439" s="1124"/>
      <c r="H439" s="282">
        <f t="shared" si="20"/>
        <v>0</v>
      </c>
      <c r="I439" s="282">
        <f t="shared" si="20"/>
        <v>0</v>
      </c>
    </row>
    <row r="440" spans="2:9" ht="15" customHeight="1">
      <c r="B440" s="406" t="s">
        <v>2613</v>
      </c>
      <c r="C440" s="416" t="s">
        <v>2614</v>
      </c>
      <c r="D440" s="1124"/>
      <c r="E440" s="1124"/>
      <c r="F440" s="1124"/>
      <c r="G440" s="1124"/>
      <c r="H440" s="282">
        <f t="shared" si="20"/>
        <v>0</v>
      </c>
      <c r="I440" s="282">
        <f t="shared" si="20"/>
        <v>0</v>
      </c>
    </row>
    <row r="441" spans="2:9" ht="15" customHeight="1">
      <c r="B441" s="406" t="s">
        <v>2615</v>
      </c>
      <c r="C441" s="1088" t="s">
        <v>2616</v>
      </c>
      <c r="D441" s="1124">
        <v>15</v>
      </c>
      <c r="E441" s="1124">
        <v>15</v>
      </c>
      <c r="F441" s="1124"/>
      <c r="G441" s="1124"/>
      <c r="H441" s="282">
        <f t="shared" si="20"/>
        <v>15</v>
      </c>
      <c r="I441" s="282">
        <f t="shared" si="20"/>
        <v>15</v>
      </c>
    </row>
    <row r="442" spans="2:9" ht="15" customHeight="1">
      <c r="B442" s="500" t="s">
        <v>2617</v>
      </c>
      <c r="C442" s="501" t="s">
        <v>2618</v>
      </c>
      <c r="D442" s="1124"/>
      <c r="E442" s="1124"/>
      <c r="F442" s="1124"/>
      <c r="G442" s="1124"/>
      <c r="H442" s="282">
        <f t="shared" si="20"/>
        <v>0</v>
      </c>
      <c r="I442" s="282">
        <f t="shared" si="20"/>
        <v>0</v>
      </c>
    </row>
    <row r="443" spans="2:9" ht="15" customHeight="1">
      <c r="B443" s="500" t="s">
        <v>2619</v>
      </c>
      <c r="C443" s="508" t="s">
        <v>2620</v>
      </c>
      <c r="D443" s="1124">
        <v>1</v>
      </c>
      <c r="E443" s="1124">
        <v>1</v>
      </c>
      <c r="F443" s="1124"/>
      <c r="G443" s="1124"/>
      <c r="H443" s="282">
        <f t="shared" si="20"/>
        <v>1</v>
      </c>
      <c r="I443" s="282">
        <f t="shared" si="20"/>
        <v>1</v>
      </c>
    </row>
    <row r="444" spans="2:9" ht="15" customHeight="1">
      <c r="B444" s="500" t="s">
        <v>2326</v>
      </c>
      <c r="C444" s="508" t="s">
        <v>2327</v>
      </c>
      <c r="D444" s="1124"/>
      <c r="E444" s="1124"/>
      <c r="F444" s="1124"/>
      <c r="G444" s="1124"/>
      <c r="H444" s="282">
        <f t="shared" si="20"/>
        <v>0</v>
      </c>
      <c r="I444" s="282">
        <f t="shared" si="20"/>
        <v>0</v>
      </c>
    </row>
    <row r="445" spans="2:9" ht="15" customHeight="1">
      <c r="B445" s="500" t="s">
        <v>2621</v>
      </c>
      <c r="C445" s="508" t="s">
        <v>2622</v>
      </c>
      <c r="D445" s="1124">
        <v>694</v>
      </c>
      <c r="E445" s="1124">
        <v>695</v>
      </c>
      <c r="F445" s="1124">
        <v>3</v>
      </c>
      <c r="G445" s="1124">
        <v>5</v>
      </c>
      <c r="H445" s="282">
        <f t="shared" si="20"/>
        <v>697</v>
      </c>
      <c r="I445" s="282">
        <f t="shared" si="20"/>
        <v>700</v>
      </c>
    </row>
    <row r="446" spans="2:9" ht="15" customHeight="1">
      <c r="B446" s="500" t="s">
        <v>2623</v>
      </c>
      <c r="C446" s="508" t="s">
        <v>2624</v>
      </c>
      <c r="D446" s="1124">
        <v>4</v>
      </c>
      <c r="E446" s="1124">
        <v>5</v>
      </c>
      <c r="F446" s="1124"/>
      <c r="G446" s="1124"/>
      <c r="H446" s="1123">
        <f t="shared" si="20"/>
        <v>4</v>
      </c>
      <c r="I446" s="1123">
        <f t="shared" si="20"/>
        <v>5</v>
      </c>
    </row>
    <row r="447" spans="2:9" ht="15" customHeight="1">
      <c r="B447" s="500" t="s">
        <v>2625</v>
      </c>
      <c r="C447" s="500" t="s">
        <v>2626</v>
      </c>
      <c r="D447" s="1124"/>
      <c r="E447" s="1124"/>
      <c r="F447" s="1124"/>
      <c r="G447" s="1124"/>
      <c r="H447" s="1123">
        <f t="shared" si="20"/>
        <v>0</v>
      </c>
      <c r="I447" s="1123">
        <f t="shared" si="20"/>
        <v>0</v>
      </c>
    </row>
    <row r="448" spans="2:9" ht="15" customHeight="1">
      <c r="B448" s="500" t="s">
        <v>2627</v>
      </c>
      <c r="C448" s="500" t="s">
        <v>2628</v>
      </c>
      <c r="D448" s="1124"/>
      <c r="E448" s="1124"/>
      <c r="F448" s="1124"/>
      <c r="G448" s="1124"/>
      <c r="H448" s="282">
        <f t="shared" si="20"/>
        <v>0</v>
      </c>
      <c r="I448" s="282">
        <f t="shared" si="20"/>
        <v>0</v>
      </c>
    </row>
    <row r="449" spans="2:9" ht="15" customHeight="1">
      <c r="B449" s="500" t="s">
        <v>2629</v>
      </c>
      <c r="C449" s="500" t="s">
        <v>2630</v>
      </c>
      <c r="D449" s="1124">
        <v>1</v>
      </c>
      <c r="E449" s="1124">
        <v>1</v>
      </c>
      <c r="F449" s="1124"/>
      <c r="G449" s="1124"/>
      <c r="H449" s="282">
        <f t="shared" si="20"/>
        <v>1</v>
      </c>
      <c r="I449" s="282">
        <f t="shared" si="20"/>
        <v>1</v>
      </c>
    </row>
    <row r="450" spans="2:9" ht="15" customHeight="1">
      <c r="B450" s="500" t="s">
        <v>2631</v>
      </c>
      <c r="C450" s="501" t="s">
        <v>2632</v>
      </c>
      <c r="D450" s="1124"/>
      <c r="E450" s="1124"/>
      <c r="F450" s="1124"/>
      <c r="G450" s="1124"/>
      <c r="H450" s="282">
        <f t="shared" si="20"/>
        <v>0</v>
      </c>
      <c r="I450" s="282">
        <f t="shared" si="20"/>
        <v>0</v>
      </c>
    </row>
    <row r="451" spans="2:9" ht="15" customHeight="1">
      <c r="B451" s="509" t="s">
        <v>2</v>
      </c>
      <c r="C451" s="510"/>
      <c r="D451" s="423">
        <f>SUM(D384:D450)</f>
        <v>1669</v>
      </c>
      <c r="E451" s="423">
        <f>SUM(E384:E450)</f>
        <v>1674</v>
      </c>
      <c r="F451" s="423">
        <f>SUM(F384:F450)</f>
        <v>270</v>
      </c>
      <c r="G451" s="423">
        <f>SUM(G384:G450)</f>
        <v>283</v>
      </c>
      <c r="H451" s="424">
        <f t="shared" si="20"/>
        <v>1939</v>
      </c>
      <c r="I451" s="424">
        <f t="shared" si="20"/>
        <v>1957</v>
      </c>
    </row>
    <row r="452" spans="2:9" ht="15" customHeight="1">
      <c r="B452" s="438"/>
      <c r="C452" s="512" t="s">
        <v>2633</v>
      </c>
      <c r="D452" s="440"/>
      <c r="E452" s="440"/>
      <c r="F452" s="440"/>
      <c r="G452" s="440"/>
      <c r="H452" s="440"/>
      <c r="I452" s="440"/>
    </row>
    <row r="453" spans="2:9" ht="15" customHeight="1">
      <c r="B453" s="441">
        <v>260007</v>
      </c>
      <c r="C453" s="513" t="s">
        <v>2053</v>
      </c>
      <c r="D453" s="1124"/>
      <c r="E453" s="1124"/>
      <c r="F453" s="1124"/>
      <c r="G453" s="1124"/>
      <c r="H453" s="282">
        <f t="shared" ref="H453:I476" si="21">D453+F453</f>
        <v>0</v>
      </c>
      <c r="I453" s="282">
        <f t="shared" si="21"/>
        <v>0</v>
      </c>
    </row>
    <row r="454" spans="2:9" ht="15" customHeight="1">
      <c r="B454" s="406" t="s">
        <v>2634</v>
      </c>
      <c r="C454" s="1088" t="s">
        <v>2635</v>
      </c>
      <c r="D454" s="1124"/>
      <c r="E454" s="1124">
        <v>1</v>
      </c>
      <c r="F454" s="1124"/>
      <c r="G454" s="1124"/>
      <c r="H454" s="282">
        <f t="shared" si="21"/>
        <v>0</v>
      </c>
      <c r="I454" s="282">
        <f t="shared" si="21"/>
        <v>1</v>
      </c>
    </row>
    <row r="455" spans="2:9" ht="15" customHeight="1">
      <c r="B455" s="406" t="s">
        <v>2054</v>
      </c>
      <c r="C455" s="1088" t="s">
        <v>2055</v>
      </c>
      <c r="D455" s="1124">
        <v>3261</v>
      </c>
      <c r="E455" s="1124">
        <v>3260</v>
      </c>
      <c r="F455" s="1124">
        <v>1255</v>
      </c>
      <c r="G455" s="1124">
        <v>1255</v>
      </c>
      <c r="H455" s="282">
        <f t="shared" si="21"/>
        <v>4516</v>
      </c>
      <c r="I455" s="282">
        <f t="shared" si="21"/>
        <v>4515</v>
      </c>
    </row>
    <row r="456" spans="2:9" ht="15" customHeight="1">
      <c r="B456" s="406" t="s">
        <v>2060</v>
      </c>
      <c r="C456" s="1088" t="s">
        <v>2061</v>
      </c>
      <c r="D456" s="1124"/>
      <c r="E456" s="1124"/>
      <c r="F456" s="1124"/>
      <c r="G456" s="1124">
        <v>5</v>
      </c>
      <c r="H456" s="282">
        <f t="shared" si="21"/>
        <v>0</v>
      </c>
      <c r="I456" s="282">
        <f t="shared" si="21"/>
        <v>5</v>
      </c>
    </row>
    <row r="457" spans="2:9" ht="15" customHeight="1">
      <c r="B457" s="1089" t="s">
        <v>2636</v>
      </c>
      <c r="C457" s="443" t="s">
        <v>2637</v>
      </c>
      <c r="D457" s="1124">
        <v>336</v>
      </c>
      <c r="E457" s="1124">
        <v>340</v>
      </c>
      <c r="F457" s="1124">
        <v>42</v>
      </c>
      <c r="G457" s="1124">
        <v>45</v>
      </c>
      <c r="H457" s="282">
        <f t="shared" si="21"/>
        <v>378</v>
      </c>
      <c r="I457" s="282">
        <f t="shared" si="21"/>
        <v>385</v>
      </c>
    </row>
    <row r="458" spans="2:9" ht="15" customHeight="1">
      <c r="B458" s="406" t="s">
        <v>2638</v>
      </c>
      <c r="C458" s="1088" t="s">
        <v>2639</v>
      </c>
      <c r="D458" s="1124"/>
      <c r="E458" s="1124"/>
      <c r="F458" s="1124"/>
      <c r="G458" s="1124"/>
      <c r="H458" s="282">
        <f t="shared" si="21"/>
        <v>0</v>
      </c>
      <c r="I458" s="282">
        <f t="shared" si="21"/>
        <v>0</v>
      </c>
    </row>
    <row r="459" spans="2:9" ht="15" customHeight="1">
      <c r="B459" s="514" t="s">
        <v>2071</v>
      </c>
      <c r="C459" s="431" t="s">
        <v>2640</v>
      </c>
      <c r="D459" s="477"/>
      <c r="E459" s="477"/>
      <c r="F459" s="477">
        <v>1</v>
      </c>
      <c r="G459" s="477">
        <v>1</v>
      </c>
      <c r="H459" s="282">
        <f t="shared" si="21"/>
        <v>1</v>
      </c>
      <c r="I459" s="282">
        <f t="shared" si="21"/>
        <v>1</v>
      </c>
    </row>
    <row r="460" spans="2:9" ht="15" customHeight="1">
      <c r="B460" s="406" t="s">
        <v>2073</v>
      </c>
      <c r="C460" s="431" t="s">
        <v>2074</v>
      </c>
      <c r="D460" s="1124"/>
      <c r="E460" s="1124"/>
      <c r="F460" s="1124"/>
      <c r="G460" s="1124"/>
      <c r="H460" s="282">
        <f t="shared" si="21"/>
        <v>0</v>
      </c>
      <c r="I460" s="282">
        <f t="shared" si="21"/>
        <v>0</v>
      </c>
    </row>
    <row r="461" spans="2:9" ht="15" customHeight="1">
      <c r="B461" s="406" t="s">
        <v>2641</v>
      </c>
      <c r="C461" s="1088" t="s">
        <v>2362</v>
      </c>
      <c r="D461" s="1124"/>
      <c r="E461" s="1124"/>
      <c r="F461" s="1124">
        <v>30</v>
      </c>
      <c r="G461" s="1124">
        <v>30</v>
      </c>
      <c r="H461" s="282">
        <f t="shared" si="21"/>
        <v>30</v>
      </c>
      <c r="I461" s="282">
        <f t="shared" si="21"/>
        <v>30</v>
      </c>
    </row>
    <row r="462" spans="2:9" ht="13.5" customHeight="1">
      <c r="B462" s="406" t="s">
        <v>2078</v>
      </c>
      <c r="C462" s="1088" t="s">
        <v>2340</v>
      </c>
      <c r="D462" s="1124">
        <v>110</v>
      </c>
      <c r="E462" s="1124">
        <v>110</v>
      </c>
      <c r="F462" s="1124"/>
      <c r="G462" s="1124">
        <v>10</v>
      </c>
      <c r="H462" s="282">
        <f t="shared" si="21"/>
        <v>110</v>
      </c>
      <c r="I462" s="282">
        <f t="shared" si="21"/>
        <v>120</v>
      </c>
    </row>
    <row r="463" spans="2:9" ht="17.25" customHeight="1">
      <c r="B463" s="406" t="s">
        <v>2080</v>
      </c>
      <c r="C463" s="1088" t="s">
        <v>2642</v>
      </c>
      <c r="D463" s="1124"/>
      <c r="E463" s="1124"/>
      <c r="F463" s="1124"/>
      <c r="G463" s="1124"/>
      <c r="H463" s="1123">
        <f t="shared" si="21"/>
        <v>0</v>
      </c>
      <c r="I463" s="1123">
        <f t="shared" si="21"/>
        <v>0</v>
      </c>
    </row>
    <row r="464" spans="2:9" ht="15" customHeight="1">
      <c r="B464" s="406" t="s">
        <v>2082</v>
      </c>
      <c r="C464" s="1088" t="s">
        <v>2643</v>
      </c>
      <c r="D464" s="1124"/>
      <c r="E464" s="1124"/>
      <c r="F464" s="1124"/>
      <c r="G464" s="1124"/>
      <c r="H464" s="1123">
        <f t="shared" si="21"/>
        <v>0</v>
      </c>
      <c r="I464" s="1123">
        <f t="shared" si="21"/>
        <v>0</v>
      </c>
    </row>
    <row r="465" spans="2:9" ht="15" customHeight="1">
      <c r="B465" s="1089" t="s">
        <v>2373</v>
      </c>
      <c r="C465" s="1088" t="s">
        <v>2374</v>
      </c>
      <c r="D465" s="1124">
        <v>15</v>
      </c>
      <c r="E465" s="1124">
        <v>15</v>
      </c>
      <c r="F465" s="1124">
        <v>14</v>
      </c>
      <c r="G465" s="1124">
        <v>15</v>
      </c>
      <c r="H465" s="282">
        <f t="shared" si="21"/>
        <v>29</v>
      </c>
      <c r="I465" s="282">
        <f t="shared" si="21"/>
        <v>30</v>
      </c>
    </row>
    <row r="466" spans="2:9" ht="15" customHeight="1">
      <c r="B466" s="406" t="s">
        <v>2086</v>
      </c>
      <c r="C466" s="431" t="s">
        <v>2087</v>
      </c>
      <c r="D466" s="1124">
        <v>39</v>
      </c>
      <c r="E466" s="1124">
        <v>40</v>
      </c>
      <c r="F466" s="1124">
        <v>121</v>
      </c>
      <c r="G466" s="1124">
        <v>120</v>
      </c>
      <c r="H466" s="282">
        <f t="shared" si="21"/>
        <v>160</v>
      </c>
      <c r="I466" s="282">
        <f t="shared" si="21"/>
        <v>160</v>
      </c>
    </row>
    <row r="467" spans="2:9" ht="15" customHeight="1">
      <c r="B467" s="406" t="s">
        <v>2090</v>
      </c>
      <c r="C467" s="431" t="s">
        <v>2091</v>
      </c>
      <c r="D467" s="1124">
        <v>10</v>
      </c>
      <c r="E467" s="1124">
        <v>10</v>
      </c>
      <c r="F467" s="1124">
        <v>335</v>
      </c>
      <c r="G467" s="1124">
        <v>350</v>
      </c>
      <c r="H467" s="282">
        <f t="shared" si="21"/>
        <v>345</v>
      </c>
      <c r="I467" s="282">
        <f t="shared" si="21"/>
        <v>360</v>
      </c>
    </row>
    <row r="468" spans="2:9" ht="15" customHeight="1">
      <c r="B468" s="406" t="s">
        <v>2092</v>
      </c>
      <c r="C468" s="431" t="s">
        <v>2644</v>
      </c>
      <c r="D468" s="1124">
        <v>86</v>
      </c>
      <c r="E468" s="1124">
        <v>80</v>
      </c>
      <c r="F468" s="1124">
        <v>60</v>
      </c>
      <c r="G468" s="1124">
        <v>60</v>
      </c>
      <c r="H468" s="282">
        <f t="shared" si="21"/>
        <v>146</v>
      </c>
      <c r="I468" s="282">
        <f t="shared" si="21"/>
        <v>140</v>
      </c>
    </row>
    <row r="469" spans="2:9" ht="15" customHeight="1">
      <c r="B469" s="514" t="s">
        <v>2094</v>
      </c>
      <c r="C469" s="431" t="s">
        <v>2645</v>
      </c>
      <c r="D469" s="1124">
        <v>470</v>
      </c>
      <c r="E469" s="1124">
        <v>470</v>
      </c>
      <c r="F469" s="477">
        <v>1598</v>
      </c>
      <c r="G469" s="477">
        <v>2000</v>
      </c>
      <c r="H469" s="515">
        <f t="shared" si="21"/>
        <v>2068</v>
      </c>
      <c r="I469" s="515">
        <f t="shared" si="21"/>
        <v>2470</v>
      </c>
    </row>
    <row r="470" spans="2:9" ht="15" customHeight="1">
      <c r="B470" s="406" t="s">
        <v>2096</v>
      </c>
      <c r="C470" s="406" t="s">
        <v>2646</v>
      </c>
      <c r="D470" s="1124"/>
      <c r="E470" s="1124"/>
      <c r="F470" s="1124">
        <v>4542</v>
      </c>
      <c r="G470" s="1124">
        <v>4500</v>
      </c>
      <c r="H470" s="282">
        <f t="shared" si="21"/>
        <v>4542</v>
      </c>
      <c r="I470" s="282">
        <f t="shared" si="21"/>
        <v>4500</v>
      </c>
    </row>
    <row r="471" spans="2:9" ht="15" customHeight="1">
      <c r="B471" s="1089" t="s">
        <v>2098</v>
      </c>
      <c r="C471" s="406" t="s">
        <v>2647</v>
      </c>
      <c r="D471" s="1124"/>
      <c r="E471" s="1124"/>
      <c r="F471" s="1124">
        <v>135</v>
      </c>
      <c r="G471" s="1124">
        <v>140</v>
      </c>
      <c r="H471" s="282">
        <f t="shared" si="21"/>
        <v>135</v>
      </c>
      <c r="I471" s="282">
        <f t="shared" si="21"/>
        <v>140</v>
      </c>
    </row>
    <row r="472" spans="2:9" ht="15" customHeight="1">
      <c r="B472" s="1089" t="s">
        <v>2100</v>
      </c>
      <c r="C472" s="406" t="s">
        <v>2648</v>
      </c>
      <c r="D472" s="1124"/>
      <c r="E472" s="1124"/>
      <c r="F472" s="1124">
        <v>402</v>
      </c>
      <c r="G472" s="1124">
        <v>400</v>
      </c>
      <c r="H472" s="282">
        <f t="shared" si="21"/>
        <v>402</v>
      </c>
      <c r="I472" s="282">
        <f t="shared" si="21"/>
        <v>400</v>
      </c>
    </row>
    <row r="473" spans="2:9" ht="15" customHeight="1">
      <c r="B473" s="406" t="s">
        <v>2102</v>
      </c>
      <c r="C473" s="406" t="s">
        <v>2649</v>
      </c>
      <c r="D473" s="1124">
        <v>20</v>
      </c>
      <c r="E473" s="1124">
        <v>20</v>
      </c>
      <c r="F473" s="1124">
        <v>3116</v>
      </c>
      <c r="G473" s="1124">
        <v>3100</v>
      </c>
      <c r="H473" s="1123">
        <f t="shared" si="21"/>
        <v>3136</v>
      </c>
      <c r="I473" s="1123">
        <f t="shared" si="21"/>
        <v>3120</v>
      </c>
    </row>
    <row r="474" spans="2:9" ht="15" customHeight="1">
      <c r="B474" s="406" t="s">
        <v>2104</v>
      </c>
      <c r="C474" s="406" t="s">
        <v>2650</v>
      </c>
      <c r="D474" s="1124">
        <v>12</v>
      </c>
      <c r="E474" s="1124">
        <v>15</v>
      </c>
      <c r="F474" s="1124">
        <v>6504</v>
      </c>
      <c r="G474" s="1124">
        <v>6500</v>
      </c>
      <c r="H474" s="1123">
        <f t="shared" si="21"/>
        <v>6516</v>
      </c>
      <c r="I474" s="1123">
        <f t="shared" si="21"/>
        <v>6515</v>
      </c>
    </row>
    <row r="475" spans="2:9" ht="15" customHeight="1">
      <c r="B475" s="406" t="s">
        <v>2106</v>
      </c>
      <c r="C475" s="406" t="s">
        <v>2107</v>
      </c>
      <c r="D475" s="1124"/>
      <c r="E475" s="1124"/>
      <c r="F475" s="1124">
        <v>3213</v>
      </c>
      <c r="G475" s="1124">
        <v>3200</v>
      </c>
      <c r="H475" s="1123">
        <f t="shared" si="21"/>
        <v>3213</v>
      </c>
      <c r="I475" s="1123">
        <f t="shared" si="21"/>
        <v>3200</v>
      </c>
    </row>
    <row r="476" spans="2:9" ht="15" customHeight="1">
      <c r="B476" s="553" t="s">
        <v>2</v>
      </c>
      <c r="C476" s="1341"/>
      <c r="D476" s="541">
        <f>SUM(D453:D475)</f>
        <v>4359</v>
      </c>
      <c r="E476" s="541">
        <f>SUM(E453:E475)</f>
        <v>4361</v>
      </c>
      <c r="F476" s="541">
        <f>SUM(F453:F475)</f>
        <v>21368</v>
      </c>
      <c r="G476" s="541">
        <f>SUM(G453:G475)</f>
        <v>21731</v>
      </c>
      <c r="H476" s="436">
        <f t="shared" si="21"/>
        <v>25727</v>
      </c>
      <c r="I476" s="436">
        <f t="shared" si="21"/>
        <v>26092</v>
      </c>
    </row>
    <row r="477" spans="2:9" ht="15" customHeight="1">
      <c r="B477" s="446"/>
      <c r="C477" s="447" t="s">
        <v>2651</v>
      </c>
      <c r="D477" s="440"/>
      <c r="E477" s="440"/>
      <c r="F477" s="440"/>
      <c r="G477" s="440"/>
      <c r="H477" s="440"/>
      <c r="I477" s="440"/>
    </row>
    <row r="478" spans="2:9" ht="15" customHeight="1">
      <c r="B478" s="406" t="s">
        <v>2342</v>
      </c>
      <c r="C478" s="486" t="s">
        <v>2652</v>
      </c>
      <c r="D478" s="1124">
        <v>3</v>
      </c>
      <c r="E478" s="1124">
        <v>5</v>
      </c>
      <c r="F478" s="1124">
        <v>2528</v>
      </c>
      <c r="G478" s="1124">
        <v>2500</v>
      </c>
      <c r="H478" s="282">
        <f t="shared" ref="H478:I485" si="22">D478+F478</f>
        <v>2531</v>
      </c>
      <c r="I478" s="282">
        <f t="shared" si="22"/>
        <v>2505</v>
      </c>
    </row>
    <row r="479" spans="2:9" ht="15" customHeight="1">
      <c r="B479" s="406" t="s">
        <v>2111</v>
      </c>
      <c r="C479" s="1088" t="s">
        <v>2112</v>
      </c>
      <c r="D479" s="1124"/>
      <c r="E479" s="1124"/>
      <c r="F479" s="1124">
        <v>231</v>
      </c>
      <c r="G479" s="1124">
        <v>230</v>
      </c>
      <c r="H479" s="282">
        <f t="shared" si="22"/>
        <v>231</v>
      </c>
      <c r="I479" s="282">
        <f t="shared" si="22"/>
        <v>230</v>
      </c>
    </row>
    <row r="480" spans="2:9" ht="15" customHeight="1">
      <c r="B480" s="406" t="s">
        <v>2113</v>
      </c>
      <c r="C480" s="1088" t="s">
        <v>2114</v>
      </c>
      <c r="D480" s="1124"/>
      <c r="E480" s="1124"/>
      <c r="F480" s="1124">
        <v>1222</v>
      </c>
      <c r="G480" s="1124">
        <v>1200</v>
      </c>
      <c r="H480" s="282">
        <f t="shared" si="22"/>
        <v>1222</v>
      </c>
      <c r="I480" s="282">
        <f t="shared" si="22"/>
        <v>1200</v>
      </c>
    </row>
    <row r="481" spans="2:10" ht="15" customHeight="1">
      <c r="B481" s="406" t="s">
        <v>2056</v>
      </c>
      <c r="C481" s="1088" t="s">
        <v>2653</v>
      </c>
      <c r="D481" s="1124">
        <v>51</v>
      </c>
      <c r="E481" s="1124">
        <v>50</v>
      </c>
      <c r="F481" s="1124">
        <v>382</v>
      </c>
      <c r="G481" s="1124">
        <v>420</v>
      </c>
      <c r="H481" s="282">
        <f t="shared" si="22"/>
        <v>433</v>
      </c>
      <c r="I481" s="282">
        <f t="shared" si="22"/>
        <v>470</v>
      </c>
    </row>
    <row r="482" spans="2:10" ht="15" customHeight="1">
      <c r="B482" s="406" t="s">
        <v>2129</v>
      </c>
      <c r="C482" s="431" t="s">
        <v>2130</v>
      </c>
      <c r="D482" s="1124"/>
      <c r="E482" s="1124"/>
      <c r="F482" s="1124">
        <v>14</v>
      </c>
      <c r="G482" s="1124">
        <v>15</v>
      </c>
      <c r="H482" s="282">
        <f t="shared" si="22"/>
        <v>14</v>
      </c>
      <c r="I482" s="282">
        <f t="shared" si="22"/>
        <v>15</v>
      </c>
    </row>
    <row r="483" spans="2:10" ht="15" customHeight="1">
      <c r="B483" s="406" t="s">
        <v>2131</v>
      </c>
      <c r="C483" s="431" t="s">
        <v>2654</v>
      </c>
      <c r="D483" s="1124"/>
      <c r="E483" s="1124"/>
      <c r="F483" s="1124">
        <v>2263</v>
      </c>
      <c r="G483" s="1124">
        <v>2270</v>
      </c>
      <c r="H483" s="282">
        <f t="shared" si="22"/>
        <v>2263</v>
      </c>
      <c r="I483" s="282">
        <f t="shared" si="22"/>
        <v>2270</v>
      </c>
    </row>
    <row r="484" spans="2:10" ht="16.5" customHeight="1">
      <c r="B484" s="406" t="s">
        <v>2133</v>
      </c>
      <c r="C484" s="431" t="s">
        <v>2134</v>
      </c>
      <c r="D484" s="1124">
        <v>1</v>
      </c>
      <c r="E484" s="1124">
        <v>5</v>
      </c>
      <c r="F484" s="1124">
        <v>6</v>
      </c>
      <c r="G484" s="1124">
        <v>10</v>
      </c>
      <c r="H484" s="282">
        <f t="shared" si="22"/>
        <v>7</v>
      </c>
      <c r="I484" s="282">
        <f t="shared" si="22"/>
        <v>15</v>
      </c>
      <c r="J484" s="362"/>
    </row>
    <row r="485" spans="2:10" ht="15" customHeight="1">
      <c r="B485" s="1342" t="s">
        <v>2</v>
      </c>
      <c r="C485" s="1343"/>
      <c r="D485" s="1344">
        <f>SUM(D478:D484)</f>
        <v>55</v>
      </c>
      <c r="E485" s="1344">
        <f>SUM(E478:E484)</f>
        <v>60</v>
      </c>
      <c r="F485" s="1344">
        <f>SUM(F478:F484)</f>
        <v>6646</v>
      </c>
      <c r="G485" s="1344">
        <f>SUM(G478:G484)</f>
        <v>6645</v>
      </c>
      <c r="H485" s="1344">
        <f>SUM(H478:H484)</f>
        <v>6701</v>
      </c>
      <c r="I485" s="1345">
        <f t="shared" si="22"/>
        <v>6705</v>
      </c>
    </row>
    <row r="486" spans="2:10" ht="15" customHeight="1">
      <c r="B486" s="519"/>
      <c r="C486" s="520" t="s">
        <v>55</v>
      </c>
      <c r="D486" s="521"/>
      <c r="E486" s="522"/>
      <c r="F486" s="522"/>
      <c r="G486" s="522"/>
      <c r="H486" s="523"/>
      <c r="I486" s="523"/>
    </row>
    <row r="487" spans="2:10" ht="15" customHeight="1">
      <c r="B487" s="524"/>
      <c r="C487" s="525" t="s">
        <v>2662</v>
      </c>
      <c r="D487" s="526"/>
      <c r="E487" s="526"/>
      <c r="F487" s="526"/>
      <c r="G487" s="526"/>
      <c r="H487" s="527"/>
      <c r="I487" s="527"/>
    </row>
    <row r="488" spans="2:10" ht="15" customHeight="1">
      <c r="B488" s="406" t="s">
        <v>2663</v>
      </c>
      <c r="C488" s="416" t="s">
        <v>2664</v>
      </c>
      <c r="D488" s="528"/>
      <c r="E488" s="528"/>
      <c r="F488" s="528">
        <v>0</v>
      </c>
      <c r="G488" s="528">
        <v>1</v>
      </c>
      <c r="H488" s="1123">
        <f t="shared" ref="H488:I514" si="23">D488+F488</f>
        <v>0</v>
      </c>
      <c r="I488" s="1123">
        <f t="shared" si="23"/>
        <v>1</v>
      </c>
    </row>
    <row r="489" spans="2:10" ht="15" customHeight="1">
      <c r="B489" s="406" t="s">
        <v>2665</v>
      </c>
      <c r="C489" s="416" t="s">
        <v>2666</v>
      </c>
      <c r="D489" s="528"/>
      <c r="E489" s="528"/>
      <c r="F489" s="528">
        <v>0</v>
      </c>
      <c r="G489" s="528">
        <v>1</v>
      </c>
      <c r="H489" s="1123">
        <f t="shared" si="23"/>
        <v>0</v>
      </c>
      <c r="I489" s="1123">
        <f t="shared" si="23"/>
        <v>1</v>
      </c>
    </row>
    <row r="490" spans="2:10" ht="15" customHeight="1">
      <c r="B490" s="406" t="s">
        <v>2667</v>
      </c>
      <c r="C490" s="416" t="s">
        <v>2668</v>
      </c>
      <c r="D490" s="528"/>
      <c r="E490" s="528"/>
      <c r="F490" s="528">
        <v>19</v>
      </c>
      <c r="G490" s="528">
        <v>40</v>
      </c>
      <c r="H490" s="282">
        <f t="shared" si="23"/>
        <v>19</v>
      </c>
      <c r="I490" s="282">
        <f t="shared" si="23"/>
        <v>40</v>
      </c>
    </row>
    <row r="491" spans="2:10" ht="15" customHeight="1">
      <c r="B491" s="406" t="s">
        <v>2669</v>
      </c>
      <c r="C491" s="416" t="s">
        <v>2670</v>
      </c>
      <c r="D491" s="529"/>
      <c r="E491" s="529"/>
      <c r="F491" s="528">
        <v>29</v>
      </c>
      <c r="G491" s="528">
        <v>20</v>
      </c>
      <c r="H491" s="282">
        <f t="shared" si="23"/>
        <v>29</v>
      </c>
      <c r="I491" s="282">
        <f t="shared" si="23"/>
        <v>20</v>
      </c>
    </row>
    <row r="492" spans="2:10" ht="15" customHeight="1">
      <c r="B492" s="406" t="s">
        <v>2671</v>
      </c>
      <c r="C492" s="416" t="s">
        <v>2672</v>
      </c>
      <c r="D492" s="528"/>
      <c r="E492" s="528"/>
      <c r="F492" s="528">
        <v>26</v>
      </c>
      <c r="G492" s="1689">
        <v>12</v>
      </c>
      <c r="H492" s="282">
        <f t="shared" si="23"/>
        <v>26</v>
      </c>
      <c r="I492" s="1329">
        <v>12</v>
      </c>
    </row>
    <row r="493" spans="2:10" ht="15" customHeight="1">
      <c r="B493" s="406" t="s">
        <v>2673</v>
      </c>
      <c r="C493" s="416" t="s">
        <v>2674</v>
      </c>
      <c r="D493" s="529"/>
      <c r="E493" s="529"/>
      <c r="F493" s="528">
        <v>4</v>
      </c>
      <c r="G493" s="528">
        <v>1</v>
      </c>
      <c r="H493" s="282">
        <f t="shared" si="23"/>
        <v>4</v>
      </c>
      <c r="I493" s="282">
        <f t="shared" si="23"/>
        <v>1</v>
      </c>
    </row>
    <row r="494" spans="2:10" ht="15" customHeight="1">
      <c r="B494" s="406" t="s">
        <v>2167</v>
      </c>
      <c r="C494" s="416" t="s">
        <v>2675</v>
      </c>
      <c r="D494" s="528"/>
      <c r="E494" s="528"/>
      <c r="F494" s="528">
        <v>27</v>
      </c>
      <c r="G494" s="1689">
        <v>22</v>
      </c>
      <c r="H494" s="282">
        <f t="shared" si="23"/>
        <v>27</v>
      </c>
      <c r="I494" s="1329">
        <v>22</v>
      </c>
    </row>
    <row r="495" spans="2:10" ht="15" customHeight="1">
      <c r="B495" s="406" t="s">
        <v>2676</v>
      </c>
      <c r="C495" s="416" t="s">
        <v>2677</v>
      </c>
      <c r="D495" s="528"/>
      <c r="E495" s="528"/>
      <c r="F495" s="528">
        <v>24</v>
      </c>
      <c r="G495" s="528">
        <v>25</v>
      </c>
      <c r="H495" s="282">
        <f t="shared" si="23"/>
        <v>24</v>
      </c>
      <c r="I495" s="282">
        <f t="shared" si="23"/>
        <v>25</v>
      </c>
    </row>
    <row r="496" spans="2:10" ht="15" customHeight="1">
      <c r="B496" s="406" t="s">
        <v>2678</v>
      </c>
      <c r="C496" s="416" t="s">
        <v>2172</v>
      </c>
      <c r="D496" s="528"/>
      <c r="E496" s="528"/>
      <c r="F496" s="528">
        <v>7</v>
      </c>
      <c r="G496" s="528">
        <v>2</v>
      </c>
      <c r="H496" s="282">
        <f t="shared" si="23"/>
        <v>7</v>
      </c>
      <c r="I496" s="282">
        <f t="shared" si="23"/>
        <v>2</v>
      </c>
    </row>
    <row r="497" spans="2:777" ht="15" customHeight="1">
      <c r="B497" s="406" t="s">
        <v>1931</v>
      </c>
      <c r="C497" s="416" t="s">
        <v>1932</v>
      </c>
      <c r="D497" s="528"/>
      <c r="E497" s="528"/>
      <c r="F497" s="528">
        <v>7</v>
      </c>
      <c r="G497" s="528">
        <v>5</v>
      </c>
      <c r="H497" s="282">
        <f t="shared" si="23"/>
        <v>7</v>
      </c>
      <c r="I497" s="282">
        <f t="shared" si="23"/>
        <v>5</v>
      </c>
    </row>
    <row r="498" spans="2:777" ht="15" customHeight="1">
      <c r="B498" s="406" t="s">
        <v>1933</v>
      </c>
      <c r="C498" s="416" t="s">
        <v>2679</v>
      </c>
      <c r="D498" s="528"/>
      <c r="E498" s="528"/>
      <c r="F498" s="528">
        <v>7</v>
      </c>
      <c r="G498" s="528">
        <v>5</v>
      </c>
      <c r="H498" s="282">
        <f t="shared" si="23"/>
        <v>7</v>
      </c>
      <c r="I498" s="282">
        <f t="shared" si="23"/>
        <v>5</v>
      </c>
    </row>
    <row r="499" spans="2:777" ht="15" customHeight="1">
      <c r="B499" s="406" t="s">
        <v>2680</v>
      </c>
      <c r="C499" s="416" t="s">
        <v>2681</v>
      </c>
      <c r="D499" s="528"/>
      <c r="E499" s="528"/>
      <c r="F499" s="528">
        <v>9</v>
      </c>
      <c r="G499" s="528">
        <v>8</v>
      </c>
      <c r="H499" s="282">
        <f t="shared" si="23"/>
        <v>9</v>
      </c>
      <c r="I499" s="282">
        <f t="shared" si="23"/>
        <v>8</v>
      </c>
    </row>
    <row r="500" spans="2:777" ht="15" customHeight="1">
      <c r="B500" s="1243" t="s">
        <v>3957</v>
      </c>
      <c r="C500" s="1244" t="s">
        <v>4066</v>
      </c>
      <c r="D500" s="1245"/>
      <c r="E500" s="1245"/>
      <c r="F500" s="1245">
        <v>1</v>
      </c>
      <c r="G500" s="1245">
        <v>1</v>
      </c>
      <c r="H500" s="1246">
        <v>0</v>
      </c>
      <c r="I500" s="1246">
        <v>1</v>
      </c>
      <c r="IX500" s="1047"/>
      <c r="IY500" s="1047"/>
      <c r="IZ500" s="1047"/>
      <c r="JA500" s="1047"/>
      <c r="JB500" s="1047"/>
      <c r="JC500" s="1047"/>
      <c r="JD500" s="1047"/>
      <c r="JE500" s="1047"/>
      <c r="ST500" s="1047"/>
      <c r="SU500" s="1047"/>
      <c r="SV500" s="1047"/>
      <c r="SW500" s="1047"/>
      <c r="SX500" s="1047"/>
      <c r="SY500" s="1047"/>
      <c r="SZ500" s="1047"/>
      <c r="TA500" s="1047"/>
      <c r="ACP500" s="1047"/>
      <c r="ACQ500" s="1047"/>
      <c r="ACR500" s="1047"/>
      <c r="ACS500" s="1047"/>
      <c r="ACT500" s="1047"/>
      <c r="ACU500" s="1047"/>
      <c r="ACV500" s="1047"/>
      <c r="ACW500" s="1047"/>
    </row>
    <row r="501" spans="2:777" ht="15" customHeight="1">
      <c r="B501" s="406" t="s">
        <v>2682</v>
      </c>
      <c r="C501" s="416" t="s">
        <v>2683</v>
      </c>
      <c r="D501" s="528"/>
      <c r="E501" s="528"/>
      <c r="F501" s="528">
        <v>2</v>
      </c>
      <c r="G501" s="528">
        <v>1</v>
      </c>
      <c r="H501" s="1123">
        <f t="shared" si="23"/>
        <v>2</v>
      </c>
      <c r="I501" s="1123">
        <f t="shared" si="23"/>
        <v>1</v>
      </c>
    </row>
    <row r="502" spans="2:777" ht="15" customHeight="1">
      <c r="B502" s="406" t="s">
        <v>2684</v>
      </c>
      <c r="C502" s="416" t="s">
        <v>2685</v>
      </c>
      <c r="D502" s="528"/>
      <c r="E502" s="528"/>
      <c r="F502" s="528">
        <v>0</v>
      </c>
      <c r="G502" s="528">
        <v>1</v>
      </c>
      <c r="H502" s="282">
        <f t="shared" si="23"/>
        <v>0</v>
      </c>
      <c r="I502" s="282">
        <f t="shared" si="23"/>
        <v>1</v>
      </c>
    </row>
    <row r="503" spans="2:777" ht="15" customHeight="1">
      <c r="B503" s="406" t="s">
        <v>2686</v>
      </c>
      <c r="C503" s="416" t="s">
        <v>2687</v>
      </c>
      <c r="D503" s="528"/>
      <c r="E503" s="528"/>
      <c r="F503" s="528">
        <v>1</v>
      </c>
      <c r="G503" s="528">
        <v>2</v>
      </c>
      <c r="H503" s="282">
        <f t="shared" si="23"/>
        <v>1</v>
      </c>
      <c r="I503" s="282">
        <f t="shared" si="23"/>
        <v>2</v>
      </c>
    </row>
    <row r="504" spans="2:777" ht="15" customHeight="1">
      <c r="B504" s="406" t="s">
        <v>2688</v>
      </c>
      <c r="C504" s="416" t="s">
        <v>2689</v>
      </c>
      <c r="D504" s="528"/>
      <c r="E504" s="528"/>
      <c r="F504" s="528">
        <v>15</v>
      </c>
      <c r="G504" s="528">
        <v>15</v>
      </c>
      <c r="H504" s="282">
        <f t="shared" si="23"/>
        <v>15</v>
      </c>
      <c r="I504" s="282">
        <f t="shared" si="23"/>
        <v>15</v>
      </c>
    </row>
    <row r="505" spans="2:777" ht="15" customHeight="1">
      <c r="B505" s="406" t="s">
        <v>2690</v>
      </c>
      <c r="C505" s="416" t="s">
        <v>2691</v>
      </c>
      <c r="D505" s="528"/>
      <c r="E505" s="528"/>
      <c r="F505" s="528">
        <v>1</v>
      </c>
      <c r="G505" s="528">
        <v>3</v>
      </c>
      <c r="H505" s="282">
        <f t="shared" si="23"/>
        <v>1</v>
      </c>
      <c r="I505" s="282">
        <f t="shared" si="23"/>
        <v>3</v>
      </c>
    </row>
    <row r="506" spans="2:777" ht="15" customHeight="1">
      <c r="B506" s="406" t="s">
        <v>2692</v>
      </c>
      <c r="C506" s="416" t="s">
        <v>2693</v>
      </c>
      <c r="D506" s="528"/>
      <c r="E506" s="528"/>
      <c r="F506" s="528">
        <v>0</v>
      </c>
      <c r="G506" s="528">
        <v>1</v>
      </c>
      <c r="H506" s="282">
        <f t="shared" si="23"/>
        <v>0</v>
      </c>
      <c r="I506" s="282">
        <f t="shared" si="23"/>
        <v>1</v>
      </c>
    </row>
    <row r="507" spans="2:777" ht="15" customHeight="1">
      <c r="B507" s="406" t="s">
        <v>2694</v>
      </c>
      <c r="C507" s="416" t="s">
        <v>2695</v>
      </c>
      <c r="D507" s="528"/>
      <c r="E507" s="528"/>
      <c r="F507" s="528">
        <v>0</v>
      </c>
      <c r="G507" s="528">
        <v>0</v>
      </c>
      <c r="H507" s="282">
        <f t="shared" si="23"/>
        <v>0</v>
      </c>
      <c r="I507" s="282">
        <f t="shared" si="23"/>
        <v>0</v>
      </c>
    </row>
    <row r="508" spans="2:777" ht="15" customHeight="1">
      <c r="B508" s="406" t="s">
        <v>2696</v>
      </c>
      <c r="C508" s="416" t="s">
        <v>2697</v>
      </c>
      <c r="D508" s="528"/>
      <c r="E508" s="528"/>
      <c r="F508" s="528">
        <v>0</v>
      </c>
      <c r="G508" s="528">
        <v>2</v>
      </c>
      <c r="H508" s="1123">
        <f t="shared" si="23"/>
        <v>0</v>
      </c>
      <c r="I508" s="1123">
        <f t="shared" si="23"/>
        <v>2</v>
      </c>
    </row>
    <row r="509" spans="2:777" ht="15" customHeight="1">
      <c r="B509" s="406" t="s">
        <v>2698</v>
      </c>
      <c r="C509" s="416" t="s">
        <v>2699</v>
      </c>
      <c r="D509" s="528"/>
      <c r="E509" s="528"/>
      <c r="F509" s="528">
        <v>1</v>
      </c>
      <c r="G509" s="528">
        <v>5</v>
      </c>
      <c r="H509" s="282">
        <f t="shared" si="23"/>
        <v>1</v>
      </c>
      <c r="I509" s="282">
        <f t="shared" si="23"/>
        <v>5</v>
      </c>
    </row>
    <row r="510" spans="2:777" ht="15" customHeight="1">
      <c r="B510" s="406" t="s">
        <v>2700</v>
      </c>
      <c r="C510" s="416" t="s">
        <v>2701</v>
      </c>
      <c r="D510" s="528"/>
      <c r="E510" s="528"/>
      <c r="F510" s="528">
        <v>0</v>
      </c>
      <c r="G510" s="528">
        <v>1</v>
      </c>
      <c r="H510" s="282">
        <f t="shared" si="23"/>
        <v>0</v>
      </c>
      <c r="I510" s="282">
        <f t="shared" si="23"/>
        <v>1</v>
      </c>
    </row>
    <row r="511" spans="2:777" ht="15" customHeight="1">
      <c r="B511" s="406" t="s">
        <v>2702</v>
      </c>
      <c r="C511" s="416" t="s">
        <v>2703</v>
      </c>
      <c r="D511" s="528"/>
      <c r="E511" s="528"/>
      <c r="F511" s="528">
        <v>0</v>
      </c>
      <c r="G511" s="528">
        <v>1</v>
      </c>
      <c r="H511" s="282">
        <f t="shared" si="23"/>
        <v>0</v>
      </c>
      <c r="I511" s="282">
        <f t="shared" si="23"/>
        <v>1</v>
      </c>
    </row>
    <row r="512" spans="2:777" ht="15" customHeight="1">
      <c r="B512" s="406" t="s">
        <v>2704</v>
      </c>
      <c r="C512" s="416" t="s">
        <v>2705</v>
      </c>
      <c r="D512" s="528"/>
      <c r="E512" s="528"/>
      <c r="F512" s="528">
        <v>1</v>
      </c>
      <c r="G512" s="528">
        <v>1</v>
      </c>
      <c r="H512" s="1123">
        <f t="shared" si="23"/>
        <v>1</v>
      </c>
      <c r="I512" s="1123">
        <f t="shared" si="23"/>
        <v>1</v>
      </c>
    </row>
    <row r="513" spans="2:777" ht="15" customHeight="1">
      <c r="B513" s="406" t="s">
        <v>2706</v>
      </c>
      <c r="C513" s="530" t="s">
        <v>2707</v>
      </c>
      <c r="D513" s="528"/>
      <c r="E513" s="528"/>
      <c r="F513" s="528">
        <v>0</v>
      </c>
      <c r="G513" s="528">
        <v>0</v>
      </c>
      <c r="H513" s="282">
        <f t="shared" si="23"/>
        <v>0</v>
      </c>
      <c r="I513" s="282">
        <f t="shared" si="23"/>
        <v>0</v>
      </c>
    </row>
    <row r="514" spans="2:777" ht="15" customHeight="1">
      <c r="B514" s="406" t="s">
        <v>2708</v>
      </c>
      <c r="C514" s="530" t="s">
        <v>2709</v>
      </c>
      <c r="D514" s="528"/>
      <c r="E514" s="528"/>
      <c r="F514" s="528">
        <v>0</v>
      </c>
      <c r="G514" s="528">
        <v>2</v>
      </c>
      <c r="H514" s="1123">
        <f t="shared" si="23"/>
        <v>0</v>
      </c>
      <c r="I514" s="1123">
        <f t="shared" si="23"/>
        <v>2</v>
      </c>
    </row>
    <row r="515" spans="2:777" ht="15" customHeight="1">
      <c r="B515" s="1295" t="s">
        <v>4083</v>
      </c>
      <c r="C515" s="1296" t="s">
        <v>4084</v>
      </c>
      <c r="D515" s="1297"/>
      <c r="E515" s="1297"/>
      <c r="F515" s="1297">
        <v>0</v>
      </c>
      <c r="G515" s="1297">
        <v>3</v>
      </c>
      <c r="H515" s="1298"/>
      <c r="I515" s="1298">
        <v>3</v>
      </c>
      <c r="IX515" s="1294"/>
      <c r="IY515" s="1294"/>
      <c r="IZ515" s="1294"/>
      <c r="JA515" s="1294"/>
      <c r="JB515" s="1294"/>
      <c r="JC515" s="1294"/>
      <c r="JD515" s="1294"/>
      <c r="JE515" s="1294"/>
      <c r="ST515" s="1294"/>
      <c r="SU515" s="1294"/>
      <c r="SV515" s="1294"/>
      <c r="SW515" s="1294"/>
      <c r="SX515" s="1294"/>
      <c r="SY515" s="1294"/>
      <c r="SZ515" s="1294"/>
      <c r="TA515" s="1294"/>
      <c r="ACP515" s="1294"/>
      <c r="ACQ515" s="1294"/>
      <c r="ACR515" s="1294"/>
      <c r="ACS515" s="1294"/>
      <c r="ACT515" s="1294"/>
      <c r="ACU515" s="1294"/>
      <c r="ACV515" s="1294"/>
      <c r="ACW515" s="1294"/>
    </row>
    <row r="516" spans="2:777" ht="15" customHeight="1">
      <c r="B516" s="444" t="s">
        <v>2</v>
      </c>
      <c r="C516" s="531"/>
      <c r="D516" s="423">
        <f>SUM(D488:D514)</f>
        <v>0</v>
      </c>
      <c r="E516" s="423">
        <f>SUM(E488:E514)</f>
        <v>0</v>
      </c>
      <c r="F516" s="423">
        <f>SUM(F488:F515)</f>
        <v>181</v>
      </c>
      <c r="G516" s="423">
        <f>SUM(G488:G515)</f>
        <v>181</v>
      </c>
      <c r="H516" s="424">
        <f>D516+F516</f>
        <v>181</v>
      </c>
      <c r="I516" s="424">
        <f>SUM(I488:I515)</f>
        <v>181</v>
      </c>
    </row>
    <row r="517" spans="2:777" ht="15" customHeight="1">
      <c r="B517" s="438"/>
      <c r="C517" s="489" t="s">
        <v>2710</v>
      </c>
      <c r="D517" s="440"/>
      <c r="E517" s="440"/>
      <c r="F517" s="440"/>
      <c r="G517" s="440"/>
      <c r="H517" s="440"/>
      <c r="I517" s="440"/>
    </row>
    <row r="518" spans="2:777" ht="15" customHeight="1">
      <c r="B518" s="406" t="s">
        <v>2711</v>
      </c>
      <c r="C518" s="416" t="s">
        <v>2712</v>
      </c>
      <c r="D518" s="528">
        <v>0</v>
      </c>
      <c r="E518" s="528">
        <v>0</v>
      </c>
      <c r="F518" s="528">
        <v>0</v>
      </c>
      <c r="G518" s="528">
        <v>2</v>
      </c>
      <c r="H518" s="282">
        <f t="shared" ref="H518:I546" si="24">D518+F518</f>
        <v>0</v>
      </c>
      <c r="I518" s="282">
        <f t="shared" si="24"/>
        <v>2</v>
      </c>
    </row>
    <row r="519" spans="2:777" ht="15" customHeight="1">
      <c r="B519" s="406" t="s">
        <v>2713</v>
      </c>
      <c r="C519" s="416" t="s">
        <v>2714</v>
      </c>
      <c r="D519" s="528">
        <v>0</v>
      </c>
      <c r="E519" s="528">
        <v>0</v>
      </c>
      <c r="F519" s="528">
        <v>6</v>
      </c>
      <c r="G519" s="528">
        <v>15</v>
      </c>
      <c r="H519" s="282">
        <f t="shared" si="24"/>
        <v>6</v>
      </c>
      <c r="I519" s="282">
        <f t="shared" si="24"/>
        <v>15</v>
      </c>
    </row>
    <row r="520" spans="2:777" ht="15" customHeight="1">
      <c r="B520" s="406" t="s">
        <v>2715</v>
      </c>
      <c r="C520" s="416" t="s">
        <v>2716</v>
      </c>
      <c r="D520" s="528">
        <v>0</v>
      </c>
      <c r="E520" s="528">
        <v>0</v>
      </c>
      <c r="F520" s="528">
        <v>0</v>
      </c>
      <c r="G520" s="528">
        <v>10</v>
      </c>
      <c r="H520" s="282">
        <f t="shared" si="24"/>
        <v>0</v>
      </c>
      <c r="I520" s="282">
        <f t="shared" si="24"/>
        <v>10</v>
      </c>
    </row>
    <row r="521" spans="2:777" ht="15" customHeight="1">
      <c r="B521" s="406" t="s">
        <v>2717</v>
      </c>
      <c r="C521" s="416" t="s">
        <v>2718</v>
      </c>
      <c r="D521" s="528">
        <v>4</v>
      </c>
      <c r="E521" s="528">
        <v>0</v>
      </c>
      <c r="F521" s="528">
        <v>0</v>
      </c>
      <c r="G521" s="528">
        <v>1</v>
      </c>
      <c r="H521" s="282">
        <f t="shared" si="24"/>
        <v>4</v>
      </c>
      <c r="I521" s="282">
        <f t="shared" si="24"/>
        <v>1</v>
      </c>
    </row>
    <row r="522" spans="2:777" ht="15" customHeight="1">
      <c r="B522" s="406" t="s">
        <v>2719</v>
      </c>
      <c r="C522" s="416" t="s">
        <v>2720</v>
      </c>
      <c r="D522" s="528">
        <v>1</v>
      </c>
      <c r="E522" s="528">
        <v>0</v>
      </c>
      <c r="F522" s="528">
        <v>1</v>
      </c>
      <c r="G522" s="528">
        <v>1</v>
      </c>
      <c r="H522" s="282">
        <f t="shared" si="24"/>
        <v>2</v>
      </c>
      <c r="I522" s="282">
        <f t="shared" si="24"/>
        <v>1</v>
      </c>
    </row>
    <row r="523" spans="2:777" ht="15" customHeight="1">
      <c r="B523" s="406" t="s">
        <v>2721</v>
      </c>
      <c r="C523" s="416" t="s">
        <v>2722</v>
      </c>
      <c r="D523" s="528">
        <v>0</v>
      </c>
      <c r="E523" s="528">
        <v>0</v>
      </c>
      <c r="F523" s="528">
        <v>1</v>
      </c>
      <c r="G523" s="528">
        <v>1</v>
      </c>
      <c r="H523" s="282">
        <f t="shared" si="24"/>
        <v>1</v>
      </c>
      <c r="I523" s="282">
        <f t="shared" si="24"/>
        <v>1</v>
      </c>
    </row>
    <row r="524" spans="2:777" ht="15" customHeight="1">
      <c r="B524" s="406" t="s">
        <v>2723</v>
      </c>
      <c r="C524" s="416" t="s">
        <v>2724</v>
      </c>
      <c r="D524" s="528">
        <v>3</v>
      </c>
      <c r="E524" s="528">
        <v>1</v>
      </c>
      <c r="F524" s="528">
        <v>1</v>
      </c>
      <c r="G524" s="528">
        <v>3</v>
      </c>
      <c r="H524" s="1123">
        <f t="shared" si="24"/>
        <v>4</v>
      </c>
      <c r="I524" s="1123">
        <f t="shared" si="24"/>
        <v>4</v>
      </c>
    </row>
    <row r="525" spans="2:777" ht="15" customHeight="1">
      <c r="B525" s="406" t="s">
        <v>2725</v>
      </c>
      <c r="C525" s="416" t="s">
        <v>2726</v>
      </c>
      <c r="D525" s="528">
        <v>0</v>
      </c>
      <c r="E525" s="528">
        <v>1</v>
      </c>
      <c r="F525" s="528">
        <v>1</v>
      </c>
      <c r="G525" s="528">
        <v>5</v>
      </c>
      <c r="H525" s="282">
        <f t="shared" si="24"/>
        <v>1</v>
      </c>
      <c r="I525" s="282">
        <f t="shared" si="24"/>
        <v>6</v>
      </c>
      <c r="J525" s="362"/>
    </row>
    <row r="526" spans="2:777" ht="15" customHeight="1">
      <c r="B526" s="406" t="s">
        <v>2727</v>
      </c>
      <c r="C526" s="416" t="s">
        <v>2728</v>
      </c>
      <c r="D526" s="528">
        <v>0</v>
      </c>
      <c r="E526" s="528">
        <v>1</v>
      </c>
      <c r="F526" s="528">
        <v>0</v>
      </c>
      <c r="G526" s="528">
        <v>1</v>
      </c>
      <c r="H526" s="282">
        <f t="shared" si="24"/>
        <v>0</v>
      </c>
      <c r="I526" s="282">
        <f t="shared" si="24"/>
        <v>2</v>
      </c>
    </row>
    <row r="527" spans="2:777" ht="15" customHeight="1">
      <c r="B527" s="406" t="s">
        <v>151</v>
      </c>
      <c r="C527" s="416" t="s">
        <v>2729</v>
      </c>
      <c r="D527" s="528">
        <v>12</v>
      </c>
      <c r="E527" s="528">
        <v>20</v>
      </c>
      <c r="F527" s="528">
        <v>16</v>
      </c>
      <c r="G527" s="528">
        <v>40</v>
      </c>
      <c r="H527" s="282">
        <f t="shared" si="24"/>
        <v>28</v>
      </c>
      <c r="I527" s="282">
        <f t="shared" si="24"/>
        <v>60</v>
      </c>
      <c r="J527" s="362"/>
    </row>
    <row r="528" spans="2:777" ht="15" customHeight="1">
      <c r="B528" s="406" t="s">
        <v>2730</v>
      </c>
      <c r="C528" s="416" t="s">
        <v>2731</v>
      </c>
      <c r="D528" s="528">
        <v>4</v>
      </c>
      <c r="E528" s="528">
        <v>4</v>
      </c>
      <c r="F528" s="528">
        <v>11</v>
      </c>
      <c r="G528" s="528">
        <v>20</v>
      </c>
      <c r="H528" s="282">
        <f t="shared" si="24"/>
        <v>15</v>
      </c>
      <c r="I528" s="282">
        <f t="shared" si="24"/>
        <v>24</v>
      </c>
      <c r="J528" s="362"/>
    </row>
    <row r="529" spans="2:777" ht="15" customHeight="1">
      <c r="B529" s="1243" t="s">
        <v>3959</v>
      </c>
      <c r="C529" s="1247" t="s">
        <v>3958</v>
      </c>
      <c r="D529" s="1245">
        <v>0</v>
      </c>
      <c r="E529" s="1245">
        <v>0</v>
      </c>
      <c r="F529" s="1245">
        <v>0</v>
      </c>
      <c r="G529" s="1245">
        <v>2</v>
      </c>
      <c r="H529" s="1246">
        <v>0</v>
      </c>
      <c r="I529" s="1246">
        <v>2</v>
      </c>
      <c r="J529" s="362"/>
      <c r="IX529" s="1047"/>
      <c r="IY529" s="1047"/>
      <c r="IZ529" s="1047"/>
      <c r="JA529" s="1047"/>
      <c r="JB529" s="1047"/>
      <c r="JC529" s="1047"/>
      <c r="JD529" s="1047"/>
      <c r="JE529" s="1047"/>
      <c r="ST529" s="1047"/>
      <c r="SU529" s="1047"/>
      <c r="SV529" s="1047"/>
      <c r="SW529" s="1047"/>
      <c r="SX529" s="1047"/>
      <c r="SY529" s="1047"/>
      <c r="SZ529" s="1047"/>
      <c r="TA529" s="1047"/>
      <c r="ACP529" s="1047"/>
      <c r="ACQ529" s="1047"/>
      <c r="ACR529" s="1047"/>
      <c r="ACS529" s="1047"/>
      <c r="ACT529" s="1047"/>
      <c r="ACU529" s="1047"/>
      <c r="ACV529" s="1047"/>
      <c r="ACW529" s="1047"/>
    </row>
    <row r="530" spans="2:777" ht="15" customHeight="1">
      <c r="B530" s="406" t="s">
        <v>2732</v>
      </c>
      <c r="C530" s="416" t="s">
        <v>2733</v>
      </c>
      <c r="D530" s="528">
        <v>0</v>
      </c>
      <c r="E530" s="528">
        <v>1</v>
      </c>
      <c r="F530" s="528">
        <v>14</v>
      </c>
      <c r="G530" s="528">
        <v>3</v>
      </c>
      <c r="H530" s="282">
        <f t="shared" si="24"/>
        <v>14</v>
      </c>
      <c r="I530" s="282">
        <f t="shared" si="24"/>
        <v>4</v>
      </c>
    </row>
    <row r="531" spans="2:777" ht="15" customHeight="1">
      <c r="B531" s="406" t="s">
        <v>2734</v>
      </c>
      <c r="C531" s="416" t="s">
        <v>2735</v>
      </c>
      <c r="D531" s="528">
        <v>7</v>
      </c>
      <c r="E531" s="528">
        <v>5</v>
      </c>
      <c r="F531" s="528">
        <v>41</v>
      </c>
      <c r="G531" s="528">
        <v>110</v>
      </c>
      <c r="H531" s="282">
        <f t="shared" si="24"/>
        <v>48</v>
      </c>
      <c r="I531" s="282">
        <f t="shared" si="24"/>
        <v>115</v>
      </c>
    </row>
    <row r="532" spans="2:777" ht="15" customHeight="1">
      <c r="B532" s="406" t="s">
        <v>2736</v>
      </c>
      <c r="C532" s="416" t="s">
        <v>2737</v>
      </c>
      <c r="D532" s="528">
        <v>8</v>
      </c>
      <c r="E532" s="528">
        <v>4</v>
      </c>
      <c r="F532" s="528">
        <v>30</v>
      </c>
      <c r="G532" s="528">
        <v>40</v>
      </c>
      <c r="H532" s="282">
        <f t="shared" si="24"/>
        <v>38</v>
      </c>
      <c r="I532" s="282">
        <f t="shared" si="24"/>
        <v>44</v>
      </c>
    </row>
    <row r="533" spans="2:777" ht="15" customHeight="1">
      <c r="B533" s="406" t="s">
        <v>2738</v>
      </c>
      <c r="C533" s="416" t="s">
        <v>2739</v>
      </c>
      <c r="D533" s="528">
        <v>0</v>
      </c>
      <c r="E533" s="528">
        <v>0</v>
      </c>
      <c r="F533" s="528">
        <v>0</v>
      </c>
      <c r="G533" s="528">
        <v>1</v>
      </c>
      <c r="H533" s="282">
        <f t="shared" si="24"/>
        <v>0</v>
      </c>
      <c r="I533" s="282">
        <f t="shared" si="24"/>
        <v>1</v>
      </c>
    </row>
    <row r="534" spans="2:777" ht="17.25" customHeight="1">
      <c r="B534" s="406" t="s">
        <v>2740</v>
      </c>
      <c r="C534" s="416" t="s">
        <v>2741</v>
      </c>
      <c r="D534" s="528">
        <v>2</v>
      </c>
      <c r="E534" s="528">
        <v>1</v>
      </c>
      <c r="F534" s="528">
        <v>3</v>
      </c>
      <c r="G534" s="528">
        <v>1</v>
      </c>
      <c r="H534" s="282">
        <f t="shared" si="24"/>
        <v>5</v>
      </c>
      <c r="I534" s="282">
        <f t="shared" si="24"/>
        <v>2</v>
      </c>
    </row>
    <row r="535" spans="2:777" ht="15" customHeight="1">
      <c r="B535" s="406" t="s">
        <v>2742</v>
      </c>
      <c r="C535" s="416" t="s">
        <v>2743</v>
      </c>
      <c r="D535" s="528">
        <v>0</v>
      </c>
      <c r="E535" s="528">
        <v>0</v>
      </c>
      <c r="F535" s="528">
        <v>10</v>
      </c>
      <c r="G535" s="528">
        <v>60</v>
      </c>
      <c r="H535" s="282">
        <f t="shared" si="24"/>
        <v>10</v>
      </c>
      <c r="I535" s="282">
        <f t="shared" si="24"/>
        <v>60</v>
      </c>
    </row>
    <row r="536" spans="2:777" ht="15" customHeight="1">
      <c r="B536" s="406" t="s">
        <v>2744</v>
      </c>
      <c r="C536" s="416" t="s">
        <v>2745</v>
      </c>
      <c r="D536" s="528">
        <v>0</v>
      </c>
      <c r="E536" s="528">
        <v>0</v>
      </c>
      <c r="F536" s="528">
        <v>1</v>
      </c>
      <c r="G536" s="528">
        <v>10</v>
      </c>
      <c r="H536" s="282">
        <f t="shared" si="24"/>
        <v>1</v>
      </c>
      <c r="I536" s="282">
        <f t="shared" si="24"/>
        <v>10</v>
      </c>
    </row>
    <row r="537" spans="2:777" ht="15" customHeight="1">
      <c r="B537" s="406" t="s">
        <v>2746</v>
      </c>
      <c r="C537" s="416" t="s">
        <v>2747</v>
      </c>
      <c r="D537" s="528">
        <v>0</v>
      </c>
      <c r="E537" s="528">
        <v>0</v>
      </c>
      <c r="F537" s="528">
        <v>59</v>
      </c>
      <c r="G537" s="528">
        <v>210</v>
      </c>
      <c r="H537" s="282">
        <f t="shared" si="24"/>
        <v>59</v>
      </c>
      <c r="I537" s="282">
        <f t="shared" si="24"/>
        <v>210</v>
      </c>
    </row>
    <row r="538" spans="2:777" ht="15" customHeight="1">
      <c r="B538" s="406" t="s">
        <v>2748</v>
      </c>
      <c r="C538" s="416" t="s">
        <v>2749</v>
      </c>
      <c r="D538" s="528">
        <v>0</v>
      </c>
      <c r="E538" s="528">
        <v>0</v>
      </c>
      <c r="F538" s="528">
        <v>4</v>
      </c>
      <c r="G538" s="528">
        <v>5</v>
      </c>
      <c r="H538" s="282">
        <f t="shared" si="24"/>
        <v>4</v>
      </c>
      <c r="I538" s="282">
        <f t="shared" si="24"/>
        <v>5</v>
      </c>
    </row>
    <row r="539" spans="2:777" ht="15" customHeight="1">
      <c r="B539" s="406" t="s">
        <v>2750</v>
      </c>
      <c r="C539" s="416" t="s">
        <v>2751</v>
      </c>
      <c r="D539" s="528">
        <v>0</v>
      </c>
      <c r="E539" s="528">
        <v>0</v>
      </c>
      <c r="F539" s="528">
        <v>0</v>
      </c>
      <c r="G539" s="528">
        <v>1</v>
      </c>
      <c r="H539" s="282">
        <f t="shared" si="24"/>
        <v>0</v>
      </c>
      <c r="I539" s="282">
        <f t="shared" si="24"/>
        <v>1</v>
      </c>
    </row>
    <row r="540" spans="2:777" ht="15" customHeight="1">
      <c r="B540" s="406" t="s">
        <v>2752</v>
      </c>
      <c r="C540" s="416" t="s">
        <v>2753</v>
      </c>
      <c r="D540" s="528">
        <v>0</v>
      </c>
      <c r="E540" s="528">
        <v>0</v>
      </c>
      <c r="F540" s="528">
        <v>0</v>
      </c>
      <c r="G540" s="528">
        <v>3</v>
      </c>
      <c r="H540" s="282">
        <f t="shared" si="24"/>
        <v>0</v>
      </c>
      <c r="I540" s="282">
        <f t="shared" si="24"/>
        <v>3</v>
      </c>
    </row>
    <row r="541" spans="2:777" ht="15" customHeight="1">
      <c r="B541" s="406" t="s">
        <v>2754</v>
      </c>
      <c r="C541" s="416" t="s">
        <v>2755</v>
      </c>
      <c r="D541" s="528">
        <v>0</v>
      </c>
      <c r="E541" s="528">
        <v>0</v>
      </c>
      <c r="F541" s="528">
        <v>27</v>
      </c>
      <c r="G541" s="528">
        <v>100</v>
      </c>
      <c r="H541" s="282">
        <f t="shared" si="24"/>
        <v>27</v>
      </c>
      <c r="I541" s="282">
        <f t="shared" si="24"/>
        <v>100</v>
      </c>
    </row>
    <row r="542" spans="2:777" ht="15" customHeight="1">
      <c r="B542" s="406" t="s">
        <v>2756</v>
      </c>
      <c r="C542" s="416" t="s">
        <v>2757</v>
      </c>
      <c r="D542" s="528">
        <v>0</v>
      </c>
      <c r="E542" s="528">
        <v>0</v>
      </c>
      <c r="F542" s="528">
        <v>2</v>
      </c>
      <c r="G542" s="528">
        <v>5</v>
      </c>
      <c r="H542" s="282">
        <f t="shared" si="24"/>
        <v>2</v>
      </c>
      <c r="I542" s="282">
        <f t="shared" si="24"/>
        <v>5</v>
      </c>
    </row>
    <row r="543" spans="2:777" ht="15" customHeight="1">
      <c r="B543" s="406" t="s">
        <v>2758</v>
      </c>
      <c r="C543" s="416" t="s">
        <v>2759</v>
      </c>
      <c r="D543" s="528">
        <v>0</v>
      </c>
      <c r="E543" s="528">
        <v>0</v>
      </c>
      <c r="F543" s="528">
        <v>9</v>
      </c>
      <c r="G543" s="528">
        <v>50</v>
      </c>
      <c r="H543" s="282">
        <f t="shared" si="24"/>
        <v>9</v>
      </c>
      <c r="I543" s="282">
        <f t="shared" si="24"/>
        <v>50</v>
      </c>
    </row>
    <row r="544" spans="2:777" ht="15" customHeight="1">
      <c r="B544" s="406" t="s">
        <v>2760</v>
      </c>
      <c r="C544" s="416" t="s">
        <v>2761</v>
      </c>
      <c r="D544" s="528">
        <v>0</v>
      </c>
      <c r="E544" s="528">
        <v>0</v>
      </c>
      <c r="F544" s="528">
        <v>1</v>
      </c>
      <c r="G544" s="528">
        <v>1</v>
      </c>
      <c r="H544" s="282">
        <f t="shared" si="24"/>
        <v>1</v>
      </c>
      <c r="I544" s="282">
        <f t="shared" si="24"/>
        <v>1</v>
      </c>
    </row>
    <row r="545" spans="2:9" ht="15" customHeight="1">
      <c r="B545" s="406" t="s">
        <v>2762</v>
      </c>
      <c r="C545" s="416" t="s">
        <v>2763</v>
      </c>
      <c r="D545" s="528">
        <v>0</v>
      </c>
      <c r="E545" s="528">
        <v>0</v>
      </c>
      <c r="F545" s="528">
        <v>0</v>
      </c>
      <c r="G545" s="528">
        <v>4</v>
      </c>
      <c r="H545" s="282">
        <f t="shared" si="24"/>
        <v>0</v>
      </c>
      <c r="I545" s="282">
        <f t="shared" si="24"/>
        <v>4</v>
      </c>
    </row>
    <row r="546" spans="2:9" ht="15" customHeight="1">
      <c r="B546" s="444" t="s">
        <v>2</v>
      </c>
      <c r="C546" s="531"/>
      <c r="D546" s="423">
        <f>SUM(D518:D545)</f>
        <v>41</v>
      </c>
      <c r="E546" s="423">
        <f>SUM(E518:E545)</f>
        <v>38</v>
      </c>
      <c r="F546" s="423">
        <f>SUM(F518:F545)</f>
        <v>238</v>
      </c>
      <c r="G546" s="423">
        <f>SUM(G518:G545)</f>
        <v>705</v>
      </c>
      <c r="H546" s="424">
        <f t="shared" si="24"/>
        <v>279</v>
      </c>
      <c r="I546" s="424">
        <f t="shared" si="24"/>
        <v>743</v>
      </c>
    </row>
    <row r="547" spans="2:9" ht="15" customHeight="1">
      <c r="B547" s="532"/>
      <c r="C547" s="533" t="s">
        <v>2764</v>
      </c>
      <c r="D547" s="440"/>
      <c r="E547" s="440"/>
      <c r="F547" s="440"/>
      <c r="G547" s="440"/>
      <c r="H547" s="440"/>
      <c r="I547" s="440"/>
    </row>
    <row r="548" spans="2:9" ht="15" customHeight="1">
      <c r="B548" s="1089" t="s">
        <v>2765</v>
      </c>
      <c r="C548" s="416" t="s">
        <v>2766</v>
      </c>
      <c r="D548" s="528">
        <v>0</v>
      </c>
      <c r="E548" s="528">
        <v>0</v>
      </c>
      <c r="F548" s="528">
        <v>1038</v>
      </c>
      <c r="G548" s="528">
        <v>520</v>
      </c>
      <c r="H548" s="282">
        <f t="shared" ref="H548:I583" si="25">D548+F548</f>
        <v>1038</v>
      </c>
      <c r="I548" s="282">
        <f t="shared" si="25"/>
        <v>520</v>
      </c>
    </row>
    <row r="549" spans="2:9" ht="15" customHeight="1">
      <c r="B549" s="1089" t="s">
        <v>2054</v>
      </c>
      <c r="C549" s="534" t="s">
        <v>2055</v>
      </c>
      <c r="D549" s="528">
        <v>221</v>
      </c>
      <c r="E549" s="528">
        <v>400</v>
      </c>
      <c r="F549" s="528">
        <v>219</v>
      </c>
      <c r="G549" s="528">
        <v>320</v>
      </c>
      <c r="H549" s="282">
        <f t="shared" si="25"/>
        <v>440</v>
      </c>
      <c r="I549" s="282">
        <f t="shared" si="25"/>
        <v>720</v>
      </c>
    </row>
    <row r="550" spans="2:9" ht="15" customHeight="1">
      <c r="B550" s="535" t="s">
        <v>2056</v>
      </c>
      <c r="C550" s="416" t="s">
        <v>2653</v>
      </c>
      <c r="D550" s="528">
        <v>0</v>
      </c>
      <c r="E550" s="528">
        <v>0</v>
      </c>
      <c r="F550" s="528">
        <v>74</v>
      </c>
      <c r="G550" s="528">
        <v>290</v>
      </c>
      <c r="H550" s="282">
        <f t="shared" si="25"/>
        <v>74</v>
      </c>
      <c r="I550" s="282">
        <f t="shared" si="25"/>
        <v>290</v>
      </c>
    </row>
    <row r="551" spans="2:9" ht="15" customHeight="1">
      <c r="B551" s="535" t="s">
        <v>2060</v>
      </c>
      <c r="C551" s="416" t="s">
        <v>2767</v>
      </c>
      <c r="D551" s="528">
        <v>0</v>
      </c>
      <c r="E551" s="528">
        <v>0</v>
      </c>
      <c r="F551" s="528">
        <v>0</v>
      </c>
      <c r="G551" s="528">
        <v>10</v>
      </c>
      <c r="H551" s="282">
        <f t="shared" si="25"/>
        <v>0</v>
      </c>
      <c r="I551" s="282">
        <f t="shared" si="25"/>
        <v>10</v>
      </c>
    </row>
    <row r="552" spans="2:9" ht="15" customHeight="1">
      <c r="B552" s="535" t="s">
        <v>2768</v>
      </c>
      <c r="C552" s="416" t="s">
        <v>2769</v>
      </c>
      <c r="D552" s="528">
        <v>0</v>
      </c>
      <c r="E552" s="528">
        <v>0</v>
      </c>
      <c r="F552" s="528">
        <v>51</v>
      </c>
      <c r="G552" s="528">
        <v>15</v>
      </c>
      <c r="H552" s="282">
        <f t="shared" si="25"/>
        <v>51</v>
      </c>
      <c r="I552" s="282">
        <f t="shared" si="25"/>
        <v>15</v>
      </c>
    </row>
    <row r="553" spans="2:9" ht="15" customHeight="1">
      <c r="B553" s="406" t="s">
        <v>2069</v>
      </c>
      <c r="C553" s="416" t="s">
        <v>2070</v>
      </c>
      <c r="D553" s="528">
        <v>0</v>
      </c>
      <c r="E553" s="528">
        <v>0</v>
      </c>
      <c r="F553" s="528">
        <v>44</v>
      </c>
      <c r="G553" s="528">
        <v>45</v>
      </c>
      <c r="H553" s="282">
        <f t="shared" si="25"/>
        <v>44</v>
      </c>
      <c r="I553" s="282">
        <f t="shared" si="25"/>
        <v>45</v>
      </c>
    </row>
    <row r="554" spans="2:9" ht="15" customHeight="1">
      <c r="B554" s="406" t="s">
        <v>2071</v>
      </c>
      <c r="C554" s="416" t="s">
        <v>2072</v>
      </c>
      <c r="D554" s="528">
        <v>0</v>
      </c>
      <c r="E554" s="528">
        <v>0</v>
      </c>
      <c r="F554" s="528">
        <v>0</v>
      </c>
      <c r="G554" s="528">
        <v>1</v>
      </c>
      <c r="H554" s="282">
        <f t="shared" si="25"/>
        <v>0</v>
      </c>
      <c r="I554" s="282">
        <f t="shared" si="25"/>
        <v>1</v>
      </c>
    </row>
    <row r="555" spans="2:9" ht="16.5" customHeight="1">
      <c r="B555" s="535" t="s">
        <v>2770</v>
      </c>
      <c r="C555" s="416" t="s">
        <v>2771</v>
      </c>
      <c r="D555" s="528">
        <v>4</v>
      </c>
      <c r="E555" s="528">
        <v>0</v>
      </c>
      <c r="F555" s="528">
        <v>131</v>
      </c>
      <c r="G555" s="528">
        <v>130</v>
      </c>
      <c r="H555" s="282">
        <f t="shared" si="25"/>
        <v>135</v>
      </c>
      <c r="I555" s="282">
        <f t="shared" si="25"/>
        <v>130</v>
      </c>
    </row>
    <row r="556" spans="2:9" ht="15" customHeight="1">
      <c r="B556" s="535" t="s">
        <v>2772</v>
      </c>
      <c r="C556" s="416" t="s">
        <v>2360</v>
      </c>
      <c r="D556" s="528">
        <v>0</v>
      </c>
      <c r="E556" s="528">
        <v>0</v>
      </c>
      <c r="F556" s="528">
        <v>153</v>
      </c>
      <c r="G556" s="528">
        <v>300</v>
      </c>
      <c r="H556" s="1123">
        <f t="shared" si="25"/>
        <v>153</v>
      </c>
      <c r="I556" s="1123">
        <f t="shared" si="25"/>
        <v>300</v>
      </c>
    </row>
    <row r="557" spans="2:9" ht="15" customHeight="1">
      <c r="B557" s="406" t="s">
        <v>2773</v>
      </c>
      <c r="C557" s="416" t="s">
        <v>2774</v>
      </c>
      <c r="D557" s="528">
        <v>117</v>
      </c>
      <c r="E557" s="528">
        <v>250</v>
      </c>
      <c r="F557" s="528">
        <v>800</v>
      </c>
      <c r="G557" s="528">
        <v>2500</v>
      </c>
      <c r="H557" s="282">
        <f t="shared" si="25"/>
        <v>917</v>
      </c>
      <c r="I557" s="282">
        <f t="shared" si="25"/>
        <v>2750</v>
      </c>
    </row>
    <row r="558" spans="2:9" ht="15" customHeight="1">
      <c r="B558" s="406" t="s">
        <v>2775</v>
      </c>
      <c r="C558" s="416" t="s">
        <v>2776</v>
      </c>
      <c r="D558" s="528">
        <v>65</v>
      </c>
      <c r="E558" s="528">
        <v>150</v>
      </c>
      <c r="F558" s="528">
        <v>1</v>
      </c>
      <c r="G558" s="528">
        <v>2</v>
      </c>
      <c r="H558" s="282">
        <f t="shared" si="25"/>
        <v>66</v>
      </c>
      <c r="I558" s="282">
        <f t="shared" si="25"/>
        <v>152</v>
      </c>
    </row>
    <row r="559" spans="2:9" ht="15" customHeight="1">
      <c r="B559" s="406" t="s">
        <v>2777</v>
      </c>
      <c r="C559" s="416" t="s">
        <v>2778</v>
      </c>
      <c r="D559" s="528">
        <v>8</v>
      </c>
      <c r="E559" s="528">
        <v>0</v>
      </c>
      <c r="F559" s="528">
        <v>15</v>
      </c>
      <c r="G559" s="528">
        <v>1</v>
      </c>
      <c r="H559" s="282">
        <f t="shared" si="25"/>
        <v>23</v>
      </c>
      <c r="I559" s="282">
        <f t="shared" si="25"/>
        <v>1</v>
      </c>
    </row>
    <row r="560" spans="2:9" ht="15" customHeight="1">
      <c r="B560" s="535" t="s">
        <v>2779</v>
      </c>
      <c r="C560" s="416" t="s">
        <v>2780</v>
      </c>
      <c r="D560" s="528">
        <v>0</v>
      </c>
      <c r="E560" s="528">
        <v>0</v>
      </c>
      <c r="F560" s="528">
        <v>34</v>
      </c>
      <c r="G560" s="528">
        <v>150</v>
      </c>
      <c r="H560" s="282">
        <f t="shared" si="25"/>
        <v>34</v>
      </c>
      <c r="I560" s="282">
        <f t="shared" si="25"/>
        <v>150</v>
      </c>
    </row>
    <row r="561" spans="2:10" s="362" customFormat="1" ht="15" customHeight="1">
      <c r="B561" s="406" t="s">
        <v>2641</v>
      </c>
      <c r="C561" s="416" t="s">
        <v>2362</v>
      </c>
      <c r="D561" s="528">
        <v>0</v>
      </c>
      <c r="E561" s="528">
        <v>0</v>
      </c>
      <c r="F561" s="528">
        <v>0</v>
      </c>
      <c r="G561" s="528">
        <v>4</v>
      </c>
      <c r="H561" s="282">
        <f t="shared" si="25"/>
        <v>0</v>
      </c>
      <c r="I561" s="282">
        <f t="shared" si="25"/>
        <v>4</v>
      </c>
      <c r="J561"/>
    </row>
    <row r="562" spans="2:10" ht="15" customHeight="1">
      <c r="B562" s="406" t="s">
        <v>2781</v>
      </c>
      <c r="C562" s="416" t="s">
        <v>2782</v>
      </c>
      <c r="D562" s="528">
        <v>0</v>
      </c>
      <c r="E562" s="528">
        <v>0</v>
      </c>
      <c r="F562" s="528">
        <v>17</v>
      </c>
      <c r="G562" s="528">
        <v>15</v>
      </c>
      <c r="H562" s="282">
        <f t="shared" si="25"/>
        <v>17</v>
      </c>
      <c r="I562" s="282">
        <f t="shared" si="25"/>
        <v>15</v>
      </c>
    </row>
    <row r="563" spans="2:10" ht="15" customHeight="1">
      <c r="B563" s="406" t="s">
        <v>2783</v>
      </c>
      <c r="C563" s="416" t="s">
        <v>2784</v>
      </c>
      <c r="D563" s="528">
        <v>0</v>
      </c>
      <c r="E563" s="528">
        <v>0</v>
      </c>
      <c r="F563" s="528">
        <v>109</v>
      </c>
      <c r="G563" s="528">
        <v>250</v>
      </c>
      <c r="H563" s="282">
        <f t="shared" si="25"/>
        <v>109</v>
      </c>
      <c r="I563" s="282">
        <f t="shared" si="25"/>
        <v>250</v>
      </c>
    </row>
    <row r="564" spans="2:10" ht="15" customHeight="1">
      <c r="B564" s="406" t="s">
        <v>2785</v>
      </c>
      <c r="C564" s="416" t="s">
        <v>2786</v>
      </c>
      <c r="D564" s="528">
        <v>66</v>
      </c>
      <c r="E564" s="528">
        <v>250</v>
      </c>
      <c r="F564" s="528">
        <v>113</v>
      </c>
      <c r="G564" s="528">
        <v>270</v>
      </c>
      <c r="H564" s="282">
        <f t="shared" si="25"/>
        <v>179</v>
      </c>
      <c r="I564" s="282">
        <f t="shared" si="25"/>
        <v>520</v>
      </c>
    </row>
    <row r="565" spans="2:10" ht="15" customHeight="1">
      <c r="B565" s="406" t="s">
        <v>2787</v>
      </c>
      <c r="C565" s="416" t="s">
        <v>2788</v>
      </c>
      <c r="D565" s="528">
        <v>8</v>
      </c>
      <c r="E565" s="528">
        <v>30</v>
      </c>
      <c r="F565" s="528">
        <v>45</v>
      </c>
      <c r="G565" s="528">
        <v>2</v>
      </c>
      <c r="H565" s="282">
        <f t="shared" si="25"/>
        <v>53</v>
      </c>
      <c r="I565" s="282">
        <f t="shared" si="25"/>
        <v>32</v>
      </c>
    </row>
    <row r="566" spans="2:10" ht="15" customHeight="1">
      <c r="B566" s="406" t="s">
        <v>2789</v>
      </c>
      <c r="C566" s="416" t="s">
        <v>2790</v>
      </c>
      <c r="D566" s="528">
        <v>180</v>
      </c>
      <c r="E566" s="528">
        <v>150</v>
      </c>
      <c r="F566" s="528">
        <v>133</v>
      </c>
      <c r="G566" s="528">
        <v>40</v>
      </c>
      <c r="H566" s="282">
        <f t="shared" si="25"/>
        <v>313</v>
      </c>
      <c r="I566" s="282">
        <f t="shared" si="25"/>
        <v>190</v>
      </c>
    </row>
    <row r="567" spans="2:10" ht="15" customHeight="1">
      <c r="B567" s="406" t="s">
        <v>2791</v>
      </c>
      <c r="C567" s="416" t="s">
        <v>2792</v>
      </c>
      <c r="D567" s="528">
        <v>2428</v>
      </c>
      <c r="E567" s="528">
        <v>3500</v>
      </c>
      <c r="F567" s="528">
        <v>119</v>
      </c>
      <c r="G567" s="528">
        <v>800</v>
      </c>
      <c r="H567" s="282">
        <f t="shared" si="25"/>
        <v>2547</v>
      </c>
      <c r="I567" s="282">
        <f t="shared" si="25"/>
        <v>4300</v>
      </c>
    </row>
    <row r="568" spans="2:10" ht="15" customHeight="1">
      <c r="B568" s="535" t="s">
        <v>2365</v>
      </c>
      <c r="C568" s="416" t="s">
        <v>2793</v>
      </c>
      <c r="D568" s="528">
        <v>19</v>
      </c>
      <c r="E568" s="528">
        <v>250</v>
      </c>
      <c r="F568" s="528">
        <v>14</v>
      </c>
      <c r="G568" s="528">
        <v>150</v>
      </c>
      <c r="H568" s="282">
        <f t="shared" si="25"/>
        <v>33</v>
      </c>
      <c r="I568" s="282">
        <f t="shared" si="25"/>
        <v>400</v>
      </c>
    </row>
    <row r="569" spans="2:10" ht="15" customHeight="1">
      <c r="B569" s="406" t="s">
        <v>2794</v>
      </c>
      <c r="C569" s="416" t="s">
        <v>2795</v>
      </c>
      <c r="D569" s="528">
        <v>297</v>
      </c>
      <c r="E569" s="528">
        <v>900</v>
      </c>
      <c r="F569" s="528">
        <v>32</v>
      </c>
      <c r="G569" s="528">
        <v>250</v>
      </c>
      <c r="H569" s="282">
        <f t="shared" si="25"/>
        <v>329</v>
      </c>
      <c r="I569" s="282">
        <f t="shared" si="25"/>
        <v>1150</v>
      </c>
    </row>
    <row r="570" spans="2:10" ht="15" customHeight="1">
      <c r="B570" s="406" t="s">
        <v>2371</v>
      </c>
      <c r="C570" s="416" t="s">
        <v>2372</v>
      </c>
      <c r="D570" s="528">
        <v>408</v>
      </c>
      <c r="E570" s="528">
        <v>1200</v>
      </c>
      <c r="F570" s="528">
        <v>55</v>
      </c>
      <c r="G570" s="528">
        <v>300</v>
      </c>
      <c r="H570" s="282">
        <f t="shared" si="25"/>
        <v>463</v>
      </c>
      <c r="I570" s="282">
        <f t="shared" si="25"/>
        <v>1500</v>
      </c>
    </row>
    <row r="571" spans="2:10" ht="15" customHeight="1">
      <c r="B571" s="406" t="s">
        <v>2796</v>
      </c>
      <c r="C571" s="416" t="s">
        <v>2797</v>
      </c>
      <c r="D571" s="528">
        <v>718</v>
      </c>
      <c r="E571" s="528">
        <v>800</v>
      </c>
      <c r="F571" s="528">
        <v>136</v>
      </c>
      <c r="G571" s="528">
        <v>150</v>
      </c>
      <c r="H571" s="282">
        <f t="shared" si="25"/>
        <v>854</v>
      </c>
      <c r="I571" s="282">
        <f t="shared" si="25"/>
        <v>950</v>
      </c>
    </row>
    <row r="572" spans="2:10" ht="15" customHeight="1">
      <c r="B572" s="535" t="s">
        <v>2798</v>
      </c>
      <c r="C572" s="416" t="s">
        <v>2799</v>
      </c>
      <c r="D572" s="528">
        <v>1772</v>
      </c>
      <c r="E572" s="528">
        <v>800</v>
      </c>
      <c r="F572" s="528">
        <v>75</v>
      </c>
      <c r="G572" s="528">
        <v>20</v>
      </c>
      <c r="H572" s="282">
        <f t="shared" si="25"/>
        <v>1847</v>
      </c>
      <c r="I572" s="282">
        <f t="shared" si="25"/>
        <v>820</v>
      </c>
    </row>
    <row r="573" spans="2:10" ht="15" customHeight="1">
      <c r="B573" s="535" t="s">
        <v>2800</v>
      </c>
      <c r="C573" s="416" t="s">
        <v>2801</v>
      </c>
      <c r="D573" s="528">
        <v>0</v>
      </c>
      <c r="E573" s="528">
        <v>0</v>
      </c>
      <c r="F573" s="528">
        <v>0</v>
      </c>
      <c r="G573" s="528">
        <v>30</v>
      </c>
      <c r="H573" s="282">
        <f t="shared" si="25"/>
        <v>0</v>
      </c>
      <c r="I573" s="282">
        <f t="shared" si="25"/>
        <v>30</v>
      </c>
    </row>
    <row r="574" spans="2:10" ht="15" customHeight="1">
      <c r="B574" s="406" t="s">
        <v>2802</v>
      </c>
      <c r="C574" s="416" t="s">
        <v>2803</v>
      </c>
      <c r="D574" s="528">
        <v>0</v>
      </c>
      <c r="E574" s="528">
        <v>0</v>
      </c>
      <c r="F574" s="528">
        <v>26</v>
      </c>
      <c r="G574" s="528">
        <v>50</v>
      </c>
      <c r="H574" s="282">
        <f t="shared" si="25"/>
        <v>26</v>
      </c>
      <c r="I574" s="282">
        <f t="shared" si="25"/>
        <v>50</v>
      </c>
    </row>
    <row r="575" spans="2:10" ht="15" customHeight="1">
      <c r="B575" s="1089" t="s">
        <v>2086</v>
      </c>
      <c r="C575" s="416" t="s">
        <v>2087</v>
      </c>
      <c r="D575" s="528">
        <v>11</v>
      </c>
      <c r="E575" s="528">
        <v>5</v>
      </c>
      <c r="F575" s="528">
        <v>39</v>
      </c>
      <c r="G575" s="528">
        <v>100</v>
      </c>
      <c r="H575" s="282">
        <f t="shared" si="25"/>
        <v>50</v>
      </c>
      <c r="I575" s="282">
        <f t="shared" si="25"/>
        <v>105</v>
      </c>
    </row>
    <row r="576" spans="2:10" ht="15" customHeight="1">
      <c r="B576" s="1089" t="s">
        <v>2090</v>
      </c>
      <c r="C576" s="416" t="s">
        <v>2091</v>
      </c>
      <c r="D576" s="528">
        <v>107</v>
      </c>
      <c r="E576" s="528">
        <v>130</v>
      </c>
      <c r="F576" s="528">
        <v>522</v>
      </c>
      <c r="G576" s="528">
        <v>1700</v>
      </c>
      <c r="H576" s="282">
        <f t="shared" si="25"/>
        <v>629</v>
      </c>
      <c r="I576" s="282">
        <f t="shared" si="25"/>
        <v>1830</v>
      </c>
    </row>
    <row r="577" spans="2:9" ht="15" customHeight="1">
      <c r="B577" s="1089" t="s">
        <v>2092</v>
      </c>
      <c r="C577" s="416" t="s">
        <v>2093</v>
      </c>
      <c r="D577" s="528">
        <v>3</v>
      </c>
      <c r="E577" s="528">
        <v>10</v>
      </c>
      <c r="F577" s="528">
        <v>0</v>
      </c>
      <c r="G577" s="528">
        <v>80</v>
      </c>
      <c r="H577" s="282">
        <f t="shared" si="25"/>
        <v>3</v>
      </c>
      <c r="I577" s="282">
        <f t="shared" si="25"/>
        <v>90</v>
      </c>
    </row>
    <row r="578" spans="2:9" ht="15" customHeight="1">
      <c r="B578" s="535" t="s">
        <v>2094</v>
      </c>
      <c r="C578" s="416" t="s">
        <v>2375</v>
      </c>
      <c r="D578" s="528">
        <v>168</v>
      </c>
      <c r="E578" s="528">
        <v>160</v>
      </c>
      <c r="F578" s="528">
        <v>1080</v>
      </c>
      <c r="G578" s="528">
        <v>3000</v>
      </c>
      <c r="H578" s="282">
        <f t="shared" si="25"/>
        <v>1248</v>
      </c>
      <c r="I578" s="282">
        <f t="shared" si="25"/>
        <v>3160</v>
      </c>
    </row>
    <row r="579" spans="2:9" ht="15" customHeight="1">
      <c r="B579" s="1089" t="s">
        <v>2096</v>
      </c>
      <c r="C579" s="416" t="s">
        <v>2097</v>
      </c>
      <c r="D579" s="528">
        <v>16</v>
      </c>
      <c r="E579" s="528">
        <v>40</v>
      </c>
      <c r="F579" s="528">
        <v>1781</v>
      </c>
      <c r="G579" s="528">
        <v>3400</v>
      </c>
      <c r="H579" s="282">
        <f t="shared" si="25"/>
        <v>1797</v>
      </c>
      <c r="I579" s="282">
        <f t="shared" si="25"/>
        <v>3440</v>
      </c>
    </row>
    <row r="580" spans="2:9" ht="15" customHeight="1">
      <c r="B580" s="1089" t="s">
        <v>2098</v>
      </c>
      <c r="C580" s="416" t="s">
        <v>2099</v>
      </c>
      <c r="D580" s="528">
        <v>3</v>
      </c>
      <c r="E580" s="528">
        <v>8</v>
      </c>
      <c r="F580" s="528">
        <v>0</v>
      </c>
      <c r="G580" s="528">
        <v>90</v>
      </c>
      <c r="H580" s="282">
        <f t="shared" si="25"/>
        <v>3</v>
      </c>
      <c r="I580" s="282">
        <f t="shared" si="25"/>
        <v>98</v>
      </c>
    </row>
    <row r="581" spans="2:9" ht="15" customHeight="1">
      <c r="B581" s="535" t="s">
        <v>2100</v>
      </c>
      <c r="C581" s="416" t="s">
        <v>2101</v>
      </c>
      <c r="D581" s="528">
        <v>12</v>
      </c>
      <c r="E581" s="528">
        <v>50</v>
      </c>
      <c r="F581" s="528">
        <v>1774</v>
      </c>
      <c r="G581" s="528">
        <v>2500</v>
      </c>
      <c r="H581" s="282">
        <f t="shared" si="25"/>
        <v>1786</v>
      </c>
      <c r="I581" s="282">
        <f t="shared" si="25"/>
        <v>2550</v>
      </c>
    </row>
    <row r="582" spans="2:9" ht="15" customHeight="1">
      <c r="B582" s="1089" t="s">
        <v>2102</v>
      </c>
      <c r="C582" s="416" t="s">
        <v>2103</v>
      </c>
      <c r="D582" s="528">
        <v>27</v>
      </c>
      <c r="E582" s="528">
        <v>50</v>
      </c>
      <c r="F582" s="528">
        <v>2509</v>
      </c>
      <c r="G582" s="528">
        <v>3500</v>
      </c>
      <c r="H582" s="282">
        <f t="shared" si="25"/>
        <v>2536</v>
      </c>
      <c r="I582" s="282">
        <f t="shared" si="25"/>
        <v>3550</v>
      </c>
    </row>
    <row r="583" spans="2:9" ht="15" customHeight="1">
      <c r="B583" s="535" t="s">
        <v>2104</v>
      </c>
      <c r="C583" s="416" t="s">
        <v>2105</v>
      </c>
      <c r="D583" s="528">
        <v>29</v>
      </c>
      <c r="E583" s="528">
        <v>80</v>
      </c>
      <c r="F583" s="528">
        <v>1297</v>
      </c>
      <c r="G583" s="528">
        <v>3500</v>
      </c>
      <c r="H583" s="282">
        <f t="shared" si="25"/>
        <v>1326</v>
      </c>
      <c r="I583" s="282">
        <f t="shared" si="25"/>
        <v>3580</v>
      </c>
    </row>
    <row r="584" spans="2:9" ht="15" customHeight="1">
      <c r="B584" s="535" t="s">
        <v>2804</v>
      </c>
      <c r="C584" s="416" t="s">
        <v>2805</v>
      </c>
      <c r="D584" s="528">
        <v>4</v>
      </c>
      <c r="E584" s="528">
        <v>15</v>
      </c>
      <c r="F584" s="528">
        <v>439</v>
      </c>
      <c r="G584" s="528">
        <v>500</v>
      </c>
      <c r="H584" s="1123">
        <v>284</v>
      </c>
      <c r="I584" s="1123">
        <v>515</v>
      </c>
    </row>
    <row r="585" spans="2:9" ht="15" customHeight="1">
      <c r="B585" s="535" t="s">
        <v>2108</v>
      </c>
      <c r="C585" s="416" t="s">
        <v>2806</v>
      </c>
      <c r="D585" s="528">
        <v>0</v>
      </c>
      <c r="E585" s="528">
        <v>3</v>
      </c>
      <c r="F585" s="528">
        <v>48</v>
      </c>
      <c r="G585" s="528">
        <v>280</v>
      </c>
      <c r="H585" s="282">
        <f t="shared" ref="H585:I590" si="26">D585+F585</f>
        <v>48</v>
      </c>
      <c r="I585" s="282">
        <f t="shared" si="26"/>
        <v>283</v>
      </c>
    </row>
    <row r="586" spans="2:9" ht="15" customHeight="1">
      <c r="B586" s="535" t="s">
        <v>2807</v>
      </c>
      <c r="C586" s="416" t="s">
        <v>2808</v>
      </c>
      <c r="D586" s="528">
        <v>0</v>
      </c>
      <c r="E586" s="528">
        <v>0</v>
      </c>
      <c r="F586" s="528">
        <v>0</v>
      </c>
      <c r="G586" s="528">
        <v>1</v>
      </c>
      <c r="H586" s="282">
        <f t="shared" si="26"/>
        <v>0</v>
      </c>
      <c r="I586" s="282">
        <f t="shared" si="26"/>
        <v>1</v>
      </c>
    </row>
    <row r="587" spans="2:9" ht="15" customHeight="1">
      <c r="B587" s="535" t="s">
        <v>2378</v>
      </c>
      <c r="C587" s="416" t="s">
        <v>2379</v>
      </c>
      <c r="D587" s="536">
        <v>0</v>
      </c>
      <c r="E587" s="536">
        <v>0</v>
      </c>
      <c r="F587" s="536">
        <v>0</v>
      </c>
      <c r="G587" s="536">
        <v>10</v>
      </c>
      <c r="H587" s="515">
        <f t="shared" si="26"/>
        <v>0</v>
      </c>
      <c r="I587" s="515">
        <f t="shared" si="26"/>
        <v>10</v>
      </c>
    </row>
    <row r="588" spans="2:9" ht="15" customHeight="1">
      <c r="B588" s="537" t="s">
        <v>2380</v>
      </c>
      <c r="C588" s="406" t="s">
        <v>2809</v>
      </c>
      <c r="D588" s="1124">
        <v>4</v>
      </c>
      <c r="E588" s="1124">
        <v>15</v>
      </c>
      <c r="F588" s="1124">
        <v>1272</v>
      </c>
      <c r="G588" s="1124">
        <v>7200</v>
      </c>
      <c r="H588" s="282">
        <f t="shared" si="26"/>
        <v>1276</v>
      </c>
      <c r="I588" s="282">
        <f t="shared" si="26"/>
        <v>7215</v>
      </c>
    </row>
    <row r="589" spans="2:9" ht="15" customHeight="1">
      <c r="B589" s="537" t="s">
        <v>2382</v>
      </c>
      <c r="C589" s="406" t="s">
        <v>2810</v>
      </c>
      <c r="D589" s="1124">
        <v>0</v>
      </c>
      <c r="E589" s="1124">
        <v>0</v>
      </c>
      <c r="F589" s="1124">
        <v>442</v>
      </c>
      <c r="G589" s="1124">
        <v>800</v>
      </c>
      <c r="H589" s="282">
        <f t="shared" si="26"/>
        <v>442</v>
      </c>
      <c r="I589" s="282">
        <f t="shared" si="26"/>
        <v>800</v>
      </c>
    </row>
    <row r="590" spans="2:9" ht="15" customHeight="1">
      <c r="B590" s="444" t="s">
        <v>2</v>
      </c>
      <c r="C590" s="531"/>
      <c r="D590" s="423">
        <f>SUM(D548:D589)</f>
        <v>6695</v>
      </c>
      <c r="E590" s="423">
        <f>SUM(E548:E589)</f>
        <v>9246</v>
      </c>
      <c r="F590" s="423">
        <f>SUM(F548:F589)</f>
        <v>14637</v>
      </c>
      <c r="G590" s="423">
        <f>SUM(G548:G589)</f>
        <v>33276</v>
      </c>
      <c r="H590" s="424">
        <f t="shared" si="26"/>
        <v>21332</v>
      </c>
      <c r="I590" s="424">
        <f t="shared" si="26"/>
        <v>42522</v>
      </c>
    </row>
    <row r="591" spans="2:9" ht="15" customHeight="1">
      <c r="B591" s="532"/>
      <c r="C591" s="447" t="s">
        <v>2811</v>
      </c>
      <c r="D591" s="440"/>
      <c r="E591" s="440"/>
      <c r="F591" s="440"/>
      <c r="G591" s="440"/>
      <c r="H591" s="440"/>
      <c r="I591" s="440"/>
    </row>
    <row r="592" spans="2:9" ht="15" customHeight="1">
      <c r="B592" s="449" t="s">
        <v>2812</v>
      </c>
      <c r="C592" s="416" t="s">
        <v>2813</v>
      </c>
      <c r="D592" s="528">
        <v>0</v>
      </c>
      <c r="E592" s="528">
        <v>0</v>
      </c>
      <c r="F592" s="528">
        <v>0</v>
      </c>
      <c r="G592" s="528">
        <v>0</v>
      </c>
      <c r="H592" s="282">
        <f t="shared" ref="H592:I604" si="27">D592+F592</f>
        <v>0</v>
      </c>
      <c r="I592" s="282">
        <f t="shared" si="27"/>
        <v>0</v>
      </c>
    </row>
    <row r="593" spans="2:11" ht="15" customHeight="1">
      <c r="B593" s="406" t="s">
        <v>2814</v>
      </c>
      <c r="C593" s="416" t="s">
        <v>2815</v>
      </c>
      <c r="D593" s="528">
        <v>0</v>
      </c>
      <c r="E593" s="528">
        <v>0</v>
      </c>
      <c r="F593" s="528">
        <v>133</v>
      </c>
      <c r="G593" s="528">
        <v>300</v>
      </c>
      <c r="H593" s="282">
        <f t="shared" si="27"/>
        <v>133</v>
      </c>
      <c r="I593" s="282">
        <f t="shared" si="27"/>
        <v>300</v>
      </c>
    </row>
    <row r="594" spans="2:11" ht="15" customHeight="1">
      <c r="B594" s="406" t="s">
        <v>2342</v>
      </c>
      <c r="C594" s="416" t="s">
        <v>2652</v>
      </c>
      <c r="D594" s="528">
        <v>314</v>
      </c>
      <c r="E594" s="528">
        <v>350</v>
      </c>
      <c r="F594" s="528">
        <v>3498</v>
      </c>
      <c r="G594" s="528">
        <v>5000</v>
      </c>
      <c r="H594" s="282">
        <f t="shared" si="27"/>
        <v>3812</v>
      </c>
      <c r="I594" s="282">
        <f t="shared" si="27"/>
        <v>5350</v>
      </c>
    </row>
    <row r="595" spans="2:11" ht="15" customHeight="1">
      <c r="B595" s="406" t="s">
        <v>2816</v>
      </c>
      <c r="C595" s="416" t="s">
        <v>2817</v>
      </c>
      <c r="D595" s="528">
        <v>0</v>
      </c>
      <c r="E595" s="528">
        <v>0</v>
      </c>
      <c r="F595" s="528">
        <v>25</v>
      </c>
      <c r="G595" s="528">
        <v>50</v>
      </c>
      <c r="H595" s="282">
        <f t="shared" si="27"/>
        <v>25</v>
      </c>
      <c r="I595" s="282">
        <f t="shared" si="27"/>
        <v>50</v>
      </c>
    </row>
    <row r="596" spans="2:11" ht="15" customHeight="1">
      <c r="B596" s="406" t="s">
        <v>2818</v>
      </c>
      <c r="C596" s="416" t="s">
        <v>2819</v>
      </c>
      <c r="D596" s="528">
        <v>0</v>
      </c>
      <c r="E596" s="528">
        <v>0</v>
      </c>
      <c r="F596" s="528">
        <v>132</v>
      </c>
      <c r="G596" s="528">
        <v>30</v>
      </c>
      <c r="H596" s="282">
        <f t="shared" si="27"/>
        <v>132</v>
      </c>
      <c r="I596" s="282">
        <f t="shared" si="27"/>
        <v>30</v>
      </c>
    </row>
    <row r="597" spans="2:11" ht="15" customHeight="1">
      <c r="B597" s="406" t="s">
        <v>2820</v>
      </c>
      <c r="C597" s="416" t="s">
        <v>2112</v>
      </c>
      <c r="D597" s="528">
        <v>0</v>
      </c>
      <c r="E597" s="528">
        <v>0</v>
      </c>
      <c r="F597" s="528">
        <v>0</v>
      </c>
      <c r="G597" s="528">
        <v>150</v>
      </c>
      <c r="H597" s="282">
        <f t="shared" si="27"/>
        <v>0</v>
      </c>
      <c r="I597" s="282">
        <f t="shared" si="27"/>
        <v>150</v>
      </c>
      <c r="K597" s="517"/>
    </row>
    <row r="598" spans="2:11" ht="15" customHeight="1">
      <c r="B598" s="406" t="s">
        <v>2821</v>
      </c>
      <c r="C598" s="416" t="s">
        <v>2822</v>
      </c>
      <c r="D598" s="528">
        <v>0</v>
      </c>
      <c r="E598" s="528">
        <v>0</v>
      </c>
      <c r="F598" s="528">
        <v>89</v>
      </c>
      <c r="G598" s="528">
        <v>600</v>
      </c>
      <c r="H598" s="282">
        <f t="shared" si="27"/>
        <v>89</v>
      </c>
      <c r="I598" s="282">
        <f t="shared" si="27"/>
        <v>600</v>
      </c>
    </row>
    <row r="599" spans="2:11" ht="15" customHeight="1">
      <c r="B599" s="406" t="s">
        <v>2113</v>
      </c>
      <c r="C599" s="416" t="s">
        <v>2114</v>
      </c>
      <c r="D599" s="528">
        <v>45</v>
      </c>
      <c r="E599" s="528">
        <v>100</v>
      </c>
      <c r="F599" s="528">
        <v>724</v>
      </c>
      <c r="G599" s="528">
        <v>1000</v>
      </c>
      <c r="H599" s="282">
        <f t="shared" si="27"/>
        <v>769</v>
      </c>
      <c r="I599" s="282">
        <f t="shared" si="27"/>
        <v>1100</v>
      </c>
    </row>
    <row r="600" spans="2:11" ht="18" customHeight="1">
      <c r="B600" s="406" t="s">
        <v>2823</v>
      </c>
      <c r="C600" s="416" t="s">
        <v>2824</v>
      </c>
      <c r="D600" s="528">
        <v>492</v>
      </c>
      <c r="E600" s="528">
        <v>600</v>
      </c>
      <c r="F600" s="528">
        <v>752</v>
      </c>
      <c r="G600" s="528">
        <v>1400</v>
      </c>
      <c r="H600" s="282">
        <f t="shared" si="27"/>
        <v>1244</v>
      </c>
      <c r="I600" s="282">
        <f t="shared" si="27"/>
        <v>2000</v>
      </c>
    </row>
    <row r="601" spans="2:11" ht="15" customHeight="1">
      <c r="B601" s="449" t="s">
        <v>2825</v>
      </c>
      <c r="C601" s="416" t="s">
        <v>2826</v>
      </c>
      <c r="D601" s="528">
        <v>23</v>
      </c>
      <c r="E601" s="528">
        <v>15</v>
      </c>
      <c r="F601" s="528">
        <v>0</v>
      </c>
      <c r="G601" s="528">
        <v>5</v>
      </c>
      <c r="H601" s="282">
        <f t="shared" si="27"/>
        <v>23</v>
      </c>
      <c r="I601" s="282">
        <f t="shared" si="27"/>
        <v>20</v>
      </c>
    </row>
    <row r="602" spans="2:11" s="362" customFormat="1" ht="15" customHeight="1">
      <c r="B602" s="406" t="s">
        <v>2827</v>
      </c>
      <c r="C602" s="416" t="s">
        <v>2828</v>
      </c>
      <c r="D602" s="528">
        <v>483</v>
      </c>
      <c r="E602" s="528">
        <v>500</v>
      </c>
      <c r="F602" s="528">
        <v>245</v>
      </c>
      <c r="G602" s="528">
        <v>600</v>
      </c>
      <c r="H602" s="282">
        <f t="shared" si="27"/>
        <v>728</v>
      </c>
      <c r="I602" s="282">
        <f t="shared" si="27"/>
        <v>1100</v>
      </c>
      <c r="J602"/>
    </row>
    <row r="603" spans="2:11" ht="15" customHeight="1">
      <c r="B603" s="406" t="s">
        <v>2829</v>
      </c>
      <c r="C603" s="416" t="s">
        <v>2830</v>
      </c>
      <c r="D603" s="528">
        <v>59</v>
      </c>
      <c r="E603" s="528">
        <v>35</v>
      </c>
      <c r="F603" s="528">
        <v>0</v>
      </c>
      <c r="G603" s="528">
        <v>4</v>
      </c>
      <c r="H603" s="282">
        <f t="shared" si="27"/>
        <v>59</v>
      </c>
      <c r="I603" s="282">
        <f t="shared" si="27"/>
        <v>39</v>
      </c>
    </row>
    <row r="604" spans="2:11" s="362" customFormat="1" ht="15" customHeight="1">
      <c r="B604" s="406" t="s">
        <v>2831</v>
      </c>
      <c r="C604" s="416" t="s">
        <v>2832</v>
      </c>
      <c r="D604" s="528">
        <v>307</v>
      </c>
      <c r="E604" s="528">
        <v>500</v>
      </c>
      <c r="F604" s="528">
        <v>148</v>
      </c>
      <c r="G604" s="528">
        <v>320</v>
      </c>
      <c r="H604" s="282">
        <f t="shared" si="27"/>
        <v>455</v>
      </c>
      <c r="I604" s="282">
        <f t="shared" si="27"/>
        <v>820</v>
      </c>
      <c r="J604"/>
    </row>
    <row r="605" spans="2:11" s="362" customFormat="1" ht="15" customHeight="1">
      <c r="B605" s="406" t="s">
        <v>2833</v>
      </c>
      <c r="C605" s="416" t="s">
        <v>2834</v>
      </c>
      <c r="D605" s="528">
        <v>0</v>
      </c>
      <c r="E605" s="528">
        <v>0</v>
      </c>
      <c r="F605" s="528">
        <v>0</v>
      </c>
      <c r="G605" s="528">
        <v>1</v>
      </c>
      <c r="H605" s="1123">
        <v>0</v>
      </c>
      <c r="I605" s="1123">
        <v>1</v>
      </c>
      <c r="J605"/>
    </row>
    <row r="606" spans="2:11" s="362" customFormat="1" ht="15" customHeight="1">
      <c r="B606" s="406" t="s">
        <v>2835</v>
      </c>
      <c r="C606" s="416" t="s">
        <v>2836</v>
      </c>
      <c r="D606" s="536">
        <v>7</v>
      </c>
      <c r="E606" s="536">
        <v>10</v>
      </c>
      <c r="F606" s="536">
        <v>0</v>
      </c>
      <c r="G606" s="536">
        <v>30</v>
      </c>
      <c r="H606" s="515">
        <f t="shared" ref="H606:I610" si="28">D606+F606</f>
        <v>7</v>
      </c>
      <c r="I606" s="515">
        <f t="shared" si="28"/>
        <v>40</v>
      </c>
      <c r="J606"/>
    </row>
    <row r="607" spans="2:11" ht="15" customHeight="1">
      <c r="B607" s="406" t="s">
        <v>2129</v>
      </c>
      <c r="C607" s="416" t="s">
        <v>2130</v>
      </c>
      <c r="D607" s="1124">
        <v>0</v>
      </c>
      <c r="E607" s="1124">
        <v>1</v>
      </c>
      <c r="F607" s="1124">
        <v>0</v>
      </c>
      <c r="G607" s="1124">
        <v>1</v>
      </c>
      <c r="H607" s="282">
        <f t="shared" si="28"/>
        <v>0</v>
      </c>
      <c r="I607" s="282">
        <f t="shared" si="28"/>
        <v>2</v>
      </c>
    </row>
    <row r="608" spans="2:11" ht="15" customHeight="1">
      <c r="B608" s="448" t="s">
        <v>2133</v>
      </c>
      <c r="C608" s="448" t="s">
        <v>2134</v>
      </c>
      <c r="D608" s="1124">
        <v>41</v>
      </c>
      <c r="E608" s="1124">
        <v>90</v>
      </c>
      <c r="F608" s="1124">
        <v>344</v>
      </c>
      <c r="G608" s="1124">
        <v>750</v>
      </c>
      <c r="H608" s="282">
        <f t="shared" si="28"/>
        <v>385</v>
      </c>
      <c r="I608" s="282">
        <f t="shared" si="28"/>
        <v>840</v>
      </c>
    </row>
    <row r="609" spans="2:9" ht="15" customHeight="1">
      <c r="B609" s="538" t="s">
        <v>2981</v>
      </c>
      <c r="C609" s="1088" t="s">
        <v>2837</v>
      </c>
      <c r="D609" s="1124">
        <v>0</v>
      </c>
      <c r="E609" s="1124">
        <v>0</v>
      </c>
      <c r="F609" s="1124">
        <v>16</v>
      </c>
      <c r="G609" s="1124">
        <v>150</v>
      </c>
      <c r="H609" s="282">
        <f t="shared" si="28"/>
        <v>16</v>
      </c>
      <c r="I609" s="282">
        <f t="shared" si="28"/>
        <v>150</v>
      </c>
    </row>
    <row r="610" spans="2:9" ht="15" customHeight="1">
      <c r="B610" s="539" t="s">
        <v>2</v>
      </c>
      <c r="C610" s="540"/>
      <c r="D610" s="541">
        <f>SUM(D592:D609)</f>
        <v>1771</v>
      </c>
      <c r="E610" s="541">
        <f>SUM(E592:E609)</f>
        <v>2201</v>
      </c>
      <c r="F610" s="541">
        <f>SUM(F592:F609)</f>
        <v>6106</v>
      </c>
      <c r="G610" s="541">
        <f>SUM(G592:G609)</f>
        <v>10391</v>
      </c>
      <c r="H610" s="436">
        <f t="shared" si="28"/>
        <v>7877</v>
      </c>
      <c r="I610" s="436">
        <f t="shared" si="28"/>
        <v>12592</v>
      </c>
    </row>
    <row r="611" spans="2:9" ht="15" customHeight="1">
      <c r="B611" s="542"/>
      <c r="C611" s="543" t="s">
        <v>55</v>
      </c>
      <c r="D611" s="544"/>
      <c r="E611" s="545"/>
      <c r="F611" s="545"/>
      <c r="G611" s="545"/>
      <c r="H611" s="546"/>
      <c r="I611" s="546"/>
    </row>
    <row r="612" spans="2:9" ht="15" customHeight="1">
      <c r="B612" s="438"/>
      <c r="C612" s="547" t="s">
        <v>2844</v>
      </c>
      <c r="D612" s="440"/>
      <c r="E612" s="440"/>
      <c r="F612" s="440"/>
      <c r="G612" s="440"/>
      <c r="H612" s="440"/>
      <c r="I612" s="440"/>
    </row>
    <row r="613" spans="2:9" ht="15" customHeight="1">
      <c r="B613" s="548" t="s">
        <v>2845</v>
      </c>
      <c r="C613" s="485" t="s">
        <v>2846</v>
      </c>
      <c r="D613" s="1288">
        <v>44</v>
      </c>
      <c r="E613" s="1288">
        <v>80</v>
      </c>
      <c r="F613" s="1288">
        <v>12</v>
      </c>
      <c r="G613" s="1288">
        <v>25</v>
      </c>
      <c r="H613" s="282">
        <f t="shared" ref="H613:I640" si="29">D613+F613</f>
        <v>56</v>
      </c>
      <c r="I613" s="282">
        <f t="shared" si="29"/>
        <v>105</v>
      </c>
    </row>
    <row r="614" spans="2:9" ht="15" customHeight="1">
      <c r="B614" s="549" t="s">
        <v>2768</v>
      </c>
      <c r="C614" s="550" t="s">
        <v>2769</v>
      </c>
      <c r="D614" s="1288">
        <v>0</v>
      </c>
      <c r="E614" s="1288">
        <v>5</v>
      </c>
      <c r="F614" s="1288">
        <v>30</v>
      </c>
      <c r="G614" s="1288">
        <v>15</v>
      </c>
      <c r="H614" s="282">
        <f t="shared" si="29"/>
        <v>30</v>
      </c>
      <c r="I614" s="282">
        <f t="shared" si="29"/>
        <v>20</v>
      </c>
    </row>
    <row r="615" spans="2:9" ht="15" customHeight="1">
      <c r="B615" s="406" t="s">
        <v>2847</v>
      </c>
      <c r="C615" s="485" t="s">
        <v>2848</v>
      </c>
      <c r="D615" s="1288">
        <v>9</v>
      </c>
      <c r="E615" s="1288">
        <v>35</v>
      </c>
      <c r="F615" s="1288">
        <v>2922</v>
      </c>
      <c r="G615" s="1288">
        <v>5998</v>
      </c>
      <c r="H615" s="282">
        <f t="shared" si="29"/>
        <v>2931</v>
      </c>
      <c r="I615" s="282">
        <f t="shared" si="29"/>
        <v>6033</v>
      </c>
    </row>
    <row r="616" spans="2:9" ht="15" customHeight="1">
      <c r="B616" s="549" t="s">
        <v>2849</v>
      </c>
      <c r="C616" s="551" t="s">
        <v>2850</v>
      </c>
      <c r="D616" s="1288">
        <v>0</v>
      </c>
      <c r="E616" s="1288">
        <v>5</v>
      </c>
      <c r="F616" s="1288">
        <v>5</v>
      </c>
      <c r="G616" s="1288">
        <v>52</v>
      </c>
      <c r="H616" s="282">
        <f t="shared" si="29"/>
        <v>5</v>
      </c>
      <c r="I616" s="282">
        <f t="shared" si="29"/>
        <v>57</v>
      </c>
    </row>
    <row r="617" spans="2:9" ht="15" customHeight="1">
      <c r="B617" s="406" t="s">
        <v>2851</v>
      </c>
      <c r="C617" s="407" t="s">
        <v>2852</v>
      </c>
      <c r="D617" s="1288">
        <v>13</v>
      </c>
      <c r="E617" s="1288">
        <v>6</v>
      </c>
      <c r="F617" s="1288">
        <v>112</v>
      </c>
      <c r="G617" s="1288">
        <v>30</v>
      </c>
      <c r="H617" s="282">
        <f t="shared" si="29"/>
        <v>125</v>
      </c>
      <c r="I617" s="282">
        <f t="shared" si="29"/>
        <v>36</v>
      </c>
    </row>
    <row r="618" spans="2:9" ht="15" customHeight="1">
      <c r="B618" s="406" t="s">
        <v>2853</v>
      </c>
      <c r="C618" s="485" t="s">
        <v>2854</v>
      </c>
      <c r="D618" s="1288">
        <v>506</v>
      </c>
      <c r="E618" s="1288">
        <v>385</v>
      </c>
      <c r="F618" s="1288">
        <v>64</v>
      </c>
      <c r="G618" s="1288">
        <v>61</v>
      </c>
      <c r="H618" s="282">
        <f t="shared" si="29"/>
        <v>570</v>
      </c>
      <c r="I618" s="282">
        <f t="shared" si="29"/>
        <v>446</v>
      </c>
    </row>
    <row r="619" spans="2:9" ht="15" customHeight="1">
      <c r="B619" s="406" t="s">
        <v>2855</v>
      </c>
      <c r="C619" s="485" t="s">
        <v>2856</v>
      </c>
      <c r="D619" s="1288">
        <v>6604</v>
      </c>
      <c r="E619" s="1288">
        <v>3350</v>
      </c>
      <c r="F619" s="1288">
        <v>240</v>
      </c>
      <c r="G619" s="1288">
        <v>690</v>
      </c>
      <c r="H619" s="282">
        <f t="shared" si="29"/>
        <v>6844</v>
      </c>
      <c r="I619" s="282">
        <f t="shared" si="29"/>
        <v>4040</v>
      </c>
    </row>
    <row r="620" spans="2:9" ht="15" customHeight="1">
      <c r="B620" s="406" t="s">
        <v>2857</v>
      </c>
      <c r="C620" s="485" t="s">
        <v>2858</v>
      </c>
      <c r="D620" s="1288">
        <v>0</v>
      </c>
      <c r="E620" s="1288">
        <v>2</v>
      </c>
      <c r="F620" s="1288">
        <v>208</v>
      </c>
      <c r="G620" s="1288">
        <v>47</v>
      </c>
      <c r="H620" s="282">
        <f t="shared" si="29"/>
        <v>208</v>
      </c>
      <c r="I620" s="282">
        <f t="shared" si="29"/>
        <v>49</v>
      </c>
    </row>
    <row r="621" spans="2:9" ht="15" customHeight="1">
      <c r="B621" s="549" t="s">
        <v>2086</v>
      </c>
      <c r="C621" s="550" t="s">
        <v>2859</v>
      </c>
      <c r="D621" s="1288">
        <v>21</v>
      </c>
      <c r="E621" s="1288">
        <v>15</v>
      </c>
      <c r="F621" s="1288">
        <v>4</v>
      </c>
      <c r="G621" s="1288">
        <v>12</v>
      </c>
      <c r="H621" s="282">
        <f t="shared" si="29"/>
        <v>25</v>
      </c>
      <c r="I621" s="282">
        <f t="shared" si="29"/>
        <v>27</v>
      </c>
    </row>
    <row r="622" spans="2:9" ht="15" customHeight="1">
      <c r="B622" s="406" t="s">
        <v>2090</v>
      </c>
      <c r="C622" s="485" t="s">
        <v>2091</v>
      </c>
      <c r="D622" s="1288">
        <v>752</v>
      </c>
      <c r="E622" s="1288">
        <v>1270</v>
      </c>
      <c r="F622" s="1288">
        <v>82</v>
      </c>
      <c r="G622" s="1288">
        <v>119</v>
      </c>
      <c r="H622" s="282">
        <f t="shared" si="29"/>
        <v>834</v>
      </c>
      <c r="I622" s="282">
        <f t="shared" si="29"/>
        <v>1389</v>
      </c>
    </row>
    <row r="623" spans="2:9" ht="15" customHeight="1">
      <c r="B623" s="1089" t="s">
        <v>2092</v>
      </c>
      <c r="C623" s="485" t="s">
        <v>2093</v>
      </c>
      <c r="D623" s="1288">
        <v>2859</v>
      </c>
      <c r="E623" s="1288">
        <v>2630</v>
      </c>
      <c r="F623" s="1288">
        <v>50</v>
      </c>
      <c r="G623" s="1288">
        <v>56</v>
      </c>
      <c r="H623" s="282">
        <f t="shared" si="29"/>
        <v>2909</v>
      </c>
      <c r="I623" s="282">
        <f t="shared" si="29"/>
        <v>2686</v>
      </c>
    </row>
    <row r="624" spans="2:9" ht="15" customHeight="1">
      <c r="B624" s="1089" t="s">
        <v>2094</v>
      </c>
      <c r="C624" s="407" t="s">
        <v>2375</v>
      </c>
      <c r="D624" s="1288">
        <v>2052</v>
      </c>
      <c r="E624" s="1288">
        <v>2090</v>
      </c>
      <c r="F624" s="1288">
        <v>66</v>
      </c>
      <c r="G624" s="1288">
        <v>62</v>
      </c>
      <c r="H624" s="282">
        <f t="shared" si="29"/>
        <v>2118</v>
      </c>
      <c r="I624" s="282">
        <f t="shared" si="29"/>
        <v>2152</v>
      </c>
    </row>
    <row r="625" spans="2:9" ht="15" customHeight="1">
      <c r="B625" s="406" t="s">
        <v>2096</v>
      </c>
      <c r="C625" s="407" t="s">
        <v>2097</v>
      </c>
      <c r="D625" s="1288">
        <v>3</v>
      </c>
      <c r="E625" s="1288">
        <v>2</v>
      </c>
      <c r="F625" s="1288">
        <v>1027</v>
      </c>
      <c r="G625" s="1288">
        <v>2435</v>
      </c>
      <c r="H625" s="282">
        <f t="shared" si="29"/>
        <v>1030</v>
      </c>
      <c r="I625" s="282">
        <f t="shared" si="29"/>
        <v>2437</v>
      </c>
    </row>
    <row r="626" spans="2:9" ht="15" customHeight="1">
      <c r="B626" s="406" t="s">
        <v>2098</v>
      </c>
      <c r="C626" s="407" t="s">
        <v>2099</v>
      </c>
      <c r="D626" s="1288">
        <v>7</v>
      </c>
      <c r="E626" s="1288">
        <v>7</v>
      </c>
      <c r="F626" s="1288">
        <v>1022</v>
      </c>
      <c r="G626" s="1288">
        <v>2159</v>
      </c>
      <c r="H626" s="282">
        <f t="shared" si="29"/>
        <v>1029</v>
      </c>
      <c r="I626" s="282">
        <f t="shared" si="29"/>
        <v>2166</v>
      </c>
    </row>
    <row r="627" spans="2:9" ht="15" customHeight="1">
      <c r="B627" s="1089" t="s">
        <v>2100</v>
      </c>
      <c r="C627" s="407" t="s">
        <v>2101</v>
      </c>
      <c r="D627" s="1288">
        <v>11</v>
      </c>
      <c r="E627" s="1288">
        <v>15</v>
      </c>
      <c r="F627" s="1288">
        <v>781</v>
      </c>
      <c r="G627" s="1288">
        <v>1452</v>
      </c>
      <c r="H627" s="282">
        <f t="shared" si="29"/>
        <v>792</v>
      </c>
      <c r="I627" s="282">
        <f t="shared" si="29"/>
        <v>1467</v>
      </c>
    </row>
    <row r="628" spans="2:9" ht="15" customHeight="1">
      <c r="B628" s="1089" t="s">
        <v>2102</v>
      </c>
      <c r="C628" s="407" t="s">
        <v>2103</v>
      </c>
      <c r="D628" s="1288">
        <v>26</v>
      </c>
      <c r="E628" s="1288">
        <v>25</v>
      </c>
      <c r="F628" s="1288">
        <v>1373</v>
      </c>
      <c r="G628" s="1288">
        <v>3048</v>
      </c>
      <c r="H628" s="282">
        <f t="shared" si="29"/>
        <v>1399</v>
      </c>
      <c r="I628" s="282">
        <f t="shared" si="29"/>
        <v>3073</v>
      </c>
    </row>
    <row r="629" spans="2:9" ht="15" customHeight="1">
      <c r="B629" s="464" t="s">
        <v>2104</v>
      </c>
      <c r="C629" s="407" t="s">
        <v>2105</v>
      </c>
      <c r="D629" s="1288">
        <v>22</v>
      </c>
      <c r="E629" s="1288">
        <v>30</v>
      </c>
      <c r="F629" s="1288">
        <v>506</v>
      </c>
      <c r="G629" s="1288">
        <v>1604</v>
      </c>
      <c r="H629" s="282">
        <f t="shared" si="29"/>
        <v>528</v>
      </c>
      <c r="I629" s="282">
        <f t="shared" si="29"/>
        <v>1634</v>
      </c>
    </row>
    <row r="630" spans="2:9" ht="15" hidden="1" customHeight="1">
      <c r="B630" s="464"/>
      <c r="C630" s="407"/>
      <c r="D630" s="1288"/>
      <c r="E630" s="1288"/>
      <c r="F630" s="1288"/>
      <c r="G630" s="1288"/>
      <c r="H630" s="282"/>
      <c r="I630" s="282"/>
    </row>
    <row r="631" spans="2:9" ht="15" customHeight="1">
      <c r="B631" s="406" t="s">
        <v>2860</v>
      </c>
      <c r="C631" s="407" t="s">
        <v>2861</v>
      </c>
      <c r="D631" s="1615">
        <v>0</v>
      </c>
      <c r="E631" s="1615">
        <v>0</v>
      </c>
      <c r="F631" s="1615">
        <v>0</v>
      </c>
      <c r="G631" s="1615">
        <v>882</v>
      </c>
      <c r="H631" s="1614">
        <v>0</v>
      </c>
      <c r="I631" s="1614">
        <v>882</v>
      </c>
    </row>
    <row r="632" spans="2:9" ht="15" customHeight="1">
      <c r="B632" s="1089" t="s">
        <v>2862</v>
      </c>
      <c r="C632" s="407" t="s">
        <v>2863</v>
      </c>
      <c r="D632" s="1288">
        <v>3</v>
      </c>
      <c r="E632" s="1288">
        <v>3</v>
      </c>
      <c r="F632" s="1288">
        <v>9</v>
      </c>
      <c r="G632" s="1288">
        <v>42</v>
      </c>
      <c r="H632" s="282">
        <f t="shared" si="29"/>
        <v>12</v>
      </c>
      <c r="I632" s="282">
        <f t="shared" si="29"/>
        <v>45</v>
      </c>
    </row>
    <row r="633" spans="2:9" ht="15" customHeight="1">
      <c r="B633" s="549" t="s">
        <v>2378</v>
      </c>
      <c r="C633" s="552" t="s">
        <v>2864</v>
      </c>
      <c r="D633" s="1288">
        <v>1</v>
      </c>
      <c r="E633" s="1288">
        <v>5</v>
      </c>
      <c r="F633" s="1288">
        <v>41</v>
      </c>
      <c r="G633" s="1288">
        <v>201</v>
      </c>
      <c r="H633" s="282">
        <f t="shared" si="29"/>
        <v>42</v>
      </c>
      <c r="I633" s="282">
        <f t="shared" si="29"/>
        <v>206</v>
      </c>
    </row>
    <row r="634" spans="2:9" ht="15" customHeight="1">
      <c r="B634" s="406" t="s">
        <v>2380</v>
      </c>
      <c r="C634" s="407" t="s">
        <v>2865</v>
      </c>
      <c r="D634" s="1288">
        <v>328</v>
      </c>
      <c r="E634" s="1288">
        <v>405</v>
      </c>
      <c r="F634" s="1288">
        <v>3803</v>
      </c>
      <c r="G634" s="1288">
        <v>9571</v>
      </c>
      <c r="H634" s="282">
        <f t="shared" si="29"/>
        <v>4131</v>
      </c>
      <c r="I634" s="282">
        <f t="shared" si="29"/>
        <v>9976</v>
      </c>
    </row>
    <row r="635" spans="2:9" ht="15" customHeight="1">
      <c r="B635" s="1661" t="s">
        <v>2866</v>
      </c>
      <c r="C635" s="407" t="s">
        <v>2867</v>
      </c>
      <c r="D635" s="1288">
        <v>0</v>
      </c>
      <c r="E635" s="1288">
        <v>2</v>
      </c>
      <c r="F635" s="1288">
        <v>295</v>
      </c>
      <c r="G635" s="1288">
        <v>295</v>
      </c>
      <c r="H635" s="282">
        <f t="shared" si="29"/>
        <v>295</v>
      </c>
      <c r="I635" s="282">
        <v>295</v>
      </c>
    </row>
    <row r="636" spans="2:9" ht="14.45" customHeight="1">
      <c r="B636" s="406" t="s">
        <v>2868</v>
      </c>
      <c r="C636" s="406" t="s">
        <v>2869</v>
      </c>
      <c r="D636" s="1288">
        <v>1</v>
      </c>
      <c r="E636" s="1288">
        <v>5</v>
      </c>
      <c r="F636" s="1288">
        <v>1054</v>
      </c>
      <c r="G636" s="1288">
        <v>2561</v>
      </c>
      <c r="H636" s="282">
        <f t="shared" si="29"/>
        <v>1055</v>
      </c>
      <c r="I636" s="282">
        <f t="shared" si="29"/>
        <v>2566</v>
      </c>
    </row>
    <row r="637" spans="2:9" ht="16.899999999999999" hidden="1" customHeight="1">
      <c r="B637" s="1358"/>
      <c r="C637" s="1359"/>
      <c r="D637" s="1335"/>
      <c r="E637" s="1335"/>
      <c r="F637" s="1335"/>
      <c r="G637" s="1335"/>
      <c r="H637" s="1329"/>
      <c r="I637" s="1329"/>
    </row>
    <row r="638" spans="2:9" ht="1.1499999999999999" hidden="1" customHeight="1">
      <c r="B638" s="1358"/>
      <c r="C638" s="1359"/>
      <c r="D638" s="1335"/>
      <c r="E638" s="1335"/>
      <c r="F638" s="1335"/>
      <c r="G638" s="1335"/>
      <c r="H638" s="1329"/>
      <c r="I638" s="1329"/>
    </row>
    <row r="639" spans="2:9" ht="15" hidden="1" customHeight="1">
      <c r="B639" s="1358" t="s">
        <v>2866</v>
      </c>
      <c r="C639" s="1359" t="s">
        <v>4109</v>
      </c>
      <c r="D639" s="1335">
        <v>0</v>
      </c>
      <c r="E639" s="1335">
        <v>2</v>
      </c>
      <c r="F639" s="1335">
        <v>0</v>
      </c>
      <c r="G639" s="1335">
        <v>50</v>
      </c>
      <c r="H639" s="1329">
        <v>0</v>
      </c>
      <c r="I639" s="1329">
        <f t="shared" si="29"/>
        <v>52</v>
      </c>
    </row>
    <row r="640" spans="2:9" ht="15" customHeight="1">
      <c r="B640" s="406" t="s">
        <v>2804</v>
      </c>
      <c r="C640" s="407" t="s">
        <v>4110</v>
      </c>
      <c r="D640" s="1615">
        <v>0</v>
      </c>
      <c r="E640" s="1615">
        <v>50</v>
      </c>
      <c r="F640" s="1615">
        <v>0</v>
      </c>
      <c r="G640" s="1615">
        <v>50</v>
      </c>
      <c r="H640" s="1614">
        <v>0</v>
      </c>
      <c r="I640" s="1614">
        <f t="shared" si="29"/>
        <v>100</v>
      </c>
    </row>
    <row r="641" spans="2:9" ht="15" customHeight="1" thickBot="1">
      <c r="B641" s="553" t="s">
        <v>2</v>
      </c>
      <c r="C641" s="554"/>
      <c r="D641" s="541">
        <f>SUM(D613:D640)</f>
        <v>13262</v>
      </c>
      <c r="E641" s="541">
        <f>SUM(E613:E640)</f>
        <v>10424</v>
      </c>
      <c r="F641" s="541">
        <f>SUM(F613:F640)</f>
        <v>13706</v>
      </c>
      <c r="G641" s="541">
        <f>SUM(G613:G640)</f>
        <v>31517</v>
      </c>
      <c r="H641" s="436">
        <f t="shared" ref="H641:I650" si="30">D641+F641</f>
        <v>26968</v>
      </c>
      <c r="I641" s="436">
        <f t="shared" si="30"/>
        <v>41941</v>
      </c>
    </row>
    <row r="642" spans="2:9" ht="15" customHeight="1" thickBot="1">
      <c r="B642" s="438"/>
      <c r="C642" s="555" t="s">
        <v>2870</v>
      </c>
      <c r="D642" s="556"/>
      <c r="E642" s="556"/>
      <c r="F642" s="556"/>
      <c r="G642" s="556"/>
      <c r="H642" s="557">
        <f t="shared" si="30"/>
        <v>0</v>
      </c>
      <c r="I642" s="557">
        <f t="shared" si="30"/>
        <v>0</v>
      </c>
    </row>
    <row r="643" spans="2:9" ht="15" customHeight="1">
      <c r="B643" s="406" t="s">
        <v>2871</v>
      </c>
      <c r="C643" s="558" t="s">
        <v>2652</v>
      </c>
      <c r="D643" s="1124">
        <v>73</v>
      </c>
      <c r="E643" s="1124">
        <v>100</v>
      </c>
      <c r="F643" s="1124">
        <v>35</v>
      </c>
      <c r="G643" s="1124">
        <v>304</v>
      </c>
      <c r="H643" s="282">
        <f t="shared" si="30"/>
        <v>108</v>
      </c>
      <c r="I643" s="282">
        <f t="shared" si="30"/>
        <v>404</v>
      </c>
    </row>
    <row r="644" spans="2:9" ht="16.5" customHeight="1">
      <c r="B644" s="406" t="s">
        <v>2111</v>
      </c>
      <c r="C644" s="485" t="s">
        <v>2112</v>
      </c>
      <c r="D644" s="1124">
        <v>5</v>
      </c>
      <c r="E644" s="1124">
        <v>20</v>
      </c>
      <c r="F644" s="1124">
        <v>8</v>
      </c>
      <c r="G644" s="1124">
        <v>29</v>
      </c>
      <c r="H644" s="282">
        <f t="shared" si="30"/>
        <v>13</v>
      </c>
      <c r="I644" s="282">
        <f t="shared" si="30"/>
        <v>49</v>
      </c>
    </row>
    <row r="645" spans="2:9" ht="15" customHeight="1">
      <c r="B645" s="406" t="s">
        <v>2872</v>
      </c>
      <c r="C645" s="407" t="s">
        <v>2114</v>
      </c>
      <c r="D645" s="1124">
        <v>7</v>
      </c>
      <c r="E645" s="1124">
        <v>10</v>
      </c>
      <c r="F645" s="1124">
        <v>436</v>
      </c>
      <c r="G645" s="1124">
        <v>1172</v>
      </c>
      <c r="H645" s="282">
        <f t="shared" si="30"/>
        <v>443</v>
      </c>
      <c r="I645" s="282">
        <f t="shared" si="30"/>
        <v>1182</v>
      </c>
    </row>
    <row r="646" spans="2:9" ht="15" customHeight="1">
      <c r="B646" s="406" t="s">
        <v>2129</v>
      </c>
      <c r="C646" s="407" t="s">
        <v>2873</v>
      </c>
      <c r="D646" s="1124">
        <v>0</v>
      </c>
      <c r="E646" s="1124">
        <v>2</v>
      </c>
      <c r="F646" s="1124">
        <v>147</v>
      </c>
      <c r="G646" s="1124">
        <v>477</v>
      </c>
      <c r="H646" s="282">
        <f t="shared" si="30"/>
        <v>147</v>
      </c>
      <c r="I646" s="282">
        <f t="shared" si="30"/>
        <v>479</v>
      </c>
    </row>
    <row r="647" spans="2:9" ht="15" customHeight="1">
      <c r="B647" s="406" t="s">
        <v>2874</v>
      </c>
      <c r="C647" s="416" t="s">
        <v>2875</v>
      </c>
      <c r="D647" s="1124">
        <v>75</v>
      </c>
      <c r="E647" s="1124">
        <v>0</v>
      </c>
      <c r="F647" s="1124">
        <v>42</v>
      </c>
      <c r="G647" s="1124">
        <v>0</v>
      </c>
      <c r="H647" s="282">
        <f t="shared" si="30"/>
        <v>117</v>
      </c>
      <c r="I647" s="282">
        <v>0</v>
      </c>
    </row>
    <row r="648" spans="2:9" ht="15" customHeight="1">
      <c r="B648" s="406" t="s">
        <v>2133</v>
      </c>
      <c r="C648" s="416" t="s">
        <v>2134</v>
      </c>
      <c r="D648" s="1124">
        <v>0</v>
      </c>
      <c r="E648" s="1124">
        <v>2</v>
      </c>
      <c r="F648" s="1124">
        <v>35</v>
      </c>
      <c r="G648" s="1124">
        <v>78</v>
      </c>
      <c r="H648" s="282">
        <f t="shared" si="30"/>
        <v>35</v>
      </c>
      <c r="I648" s="282">
        <f t="shared" si="30"/>
        <v>80</v>
      </c>
    </row>
    <row r="649" spans="2:9" ht="15" customHeight="1">
      <c r="B649" s="406">
        <v>8184901</v>
      </c>
      <c r="C649" s="416" t="s">
        <v>4111</v>
      </c>
      <c r="D649" s="1615">
        <v>0</v>
      </c>
      <c r="E649" s="1615">
        <v>1000</v>
      </c>
      <c r="F649" s="1615">
        <v>0</v>
      </c>
      <c r="G649" s="1615">
        <v>0</v>
      </c>
      <c r="H649" s="1614">
        <v>0</v>
      </c>
      <c r="I649" s="1614">
        <f t="shared" si="30"/>
        <v>1000</v>
      </c>
    </row>
    <row r="650" spans="2:9" ht="15" customHeight="1">
      <c r="B650" s="509" t="s">
        <v>2</v>
      </c>
      <c r="C650" s="491"/>
      <c r="D650" s="423">
        <f>SUM(D643:D649)</f>
        <v>160</v>
      </c>
      <c r="E650" s="423">
        <f>SUM(E643:E649)</f>
        <v>1134</v>
      </c>
      <c r="F650" s="423">
        <f>SUM(F643:F649)</f>
        <v>703</v>
      </c>
      <c r="G650" s="423">
        <f>SUM(G643:G649)</f>
        <v>2060</v>
      </c>
      <c r="H650" s="424">
        <f t="shared" si="30"/>
        <v>863</v>
      </c>
      <c r="I650" s="424">
        <f t="shared" si="30"/>
        <v>3194</v>
      </c>
    </row>
    <row r="651" spans="2:9" ht="15" customHeight="1">
      <c r="B651" s="559"/>
      <c r="C651" s="493" t="s">
        <v>55</v>
      </c>
      <c r="D651" s="494"/>
      <c r="E651" s="495"/>
      <c r="F651" s="495"/>
      <c r="G651" s="495"/>
      <c r="H651" s="425"/>
      <c r="I651" s="560"/>
    </row>
    <row r="652" spans="2:9" ht="15" customHeight="1">
      <c r="B652" s="480"/>
      <c r="C652" s="561" t="s">
        <v>2879</v>
      </c>
      <c r="D652" s="428"/>
      <c r="F652" s="428"/>
      <c r="H652" s="428"/>
      <c r="I652" s="428"/>
    </row>
    <row r="653" spans="2:9" ht="15" customHeight="1">
      <c r="B653" s="562" t="s">
        <v>2880</v>
      </c>
      <c r="C653" s="563" t="s">
        <v>2881</v>
      </c>
      <c r="D653" s="564"/>
      <c r="E653" s="1124"/>
      <c r="F653" s="1124">
        <v>8</v>
      </c>
      <c r="G653" s="1124">
        <v>9</v>
      </c>
      <c r="H653" s="282">
        <f t="shared" ref="H653:I685" si="31">D653+F653</f>
        <v>8</v>
      </c>
      <c r="I653" s="282">
        <f t="shared" si="31"/>
        <v>9</v>
      </c>
    </row>
    <row r="654" spans="2:9" ht="18.75" customHeight="1">
      <c r="B654" s="562" t="s">
        <v>2882</v>
      </c>
      <c r="C654" s="565" t="s">
        <v>2883</v>
      </c>
      <c r="D654" s="564"/>
      <c r="E654" s="1124"/>
      <c r="F654" s="1124">
        <v>0</v>
      </c>
      <c r="G654" s="1124">
        <v>1</v>
      </c>
      <c r="H654" s="282">
        <f t="shared" si="31"/>
        <v>0</v>
      </c>
      <c r="I654" s="282">
        <f t="shared" si="31"/>
        <v>1</v>
      </c>
    </row>
    <row r="655" spans="2:9" ht="15" customHeight="1">
      <c r="B655" s="562" t="s">
        <v>2884</v>
      </c>
      <c r="C655" s="565" t="s">
        <v>2885</v>
      </c>
      <c r="D655" s="564"/>
      <c r="E655" s="1124"/>
      <c r="F655" s="1124">
        <v>15</v>
      </c>
      <c r="G655" s="1124">
        <v>2</v>
      </c>
      <c r="H655" s="282">
        <f t="shared" si="31"/>
        <v>15</v>
      </c>
      <c r="I655" s="282">
        <f t="shared" si="31"/>
        <v>2</v>
      </c>
    </row>
    <row r="656" spans="2:9" ht="15" customHeight="1">
      <c r="B656" s="562" t="s">
        <v>2886</v>
      </c>
      <c r="C656" s="565" t="s">
        <v>2887</v>
      </c>
      <c r="D656" s="564"/>
      <c r="E656" s="1124"/>
      <c r="F656" s="1124">
        <v>0</v>
      </c>
      <c r="G656" s="1124">
        <v>1</v>
      </c>
      <c r="H656" s="282">
        <f t="shared" si="31"/>
        <v>0</v>
      </c>
      <c r="I656" s="282">
        <f t="shared" si="31"/>
        <v>1</v>
      </c>
    </row>
    <row r="657" spans="2:9" ht="15" customHeight="1">
      <c r="B657" s="562" t="s">
        <v>2888</v>
      </c>
      <c r="C657" s="566" t="s">
        <v>2889</v>
      </c>
      <c r="D657" s="564"/>
      <c r="E657" s="1124"/>
      <c r="F657" s="1124">
        <v>21</v>
      </c>
      <c r="G657" s="1124">
        <v>5</v>
      </c>
      <c r="H657" s="282">
        <f t="shared" si="31"/>
        <v>21</v>
      </c>
      <c r="I657" s="282">
        <f t="shared" si="31"/>
        <v>5</v>
      </c>
    </row>
    <row r="658" spans="2:9" ht="15" customHeight="1">
      <c r="B658" s="562" t="s">
        <v>2890</v>
      </c>
      <c r="C658" s="567" t="s">
        <v>2891</v>
      </c>
      <c r="D658" s="564"/>
      <c r="E658" s="1124"/>
      <c r="F658" s="1124">
        <v>536</v>
      </c>
      <c r="G658" s="1124">
        <v>415</v>
      </c>
      <c r="H658" s="282">
        <f t="shared" si="31"/>
        <v>536</v>
      </c>
      <c r="I658" s="282">
        <f t="shared" si="31"/>
        <v>415</v>
      </c>
    </row>
    <row r="659" spans="2:9" ht="15" customHeight="1">
      <c r="B659" s="562" t="s">
        <v>2892</v>
      </c>
      <c r="C659" s="563" t="s">
        <v>2893</v>
      </c>
      <c r="D659" s="564"/>
      <c r="E659" s="1124"/>
      <c r="F659" s="1124">
        <v>324</v>
      </c>
      <c r="G659" s="1124">
        <v>400</v>
      </c>
      <c r="H659" s="282">
        <f t="shared" si="31"/>
        <v>324</v>
      </c>
      <c r="I659" s="282">
        <f t="shared" si="31"/>
        <v>400</v>
      </c>
    </row>
    <row r="660" spans="2:9" ht="15" customHeight="1">
      <c r="B660" s="562" t="s">
        <v>2894</v>
      </c>
      <c r="C660" s="565" t="s">
        <v>2895</v>
      </c>
      <c r="D660" s="564"/>
      <c r="E660" s="1124"/>
      <c r="F660" s="1124">
        <v>2</v>
      </c>
      <c r="G660" s="1124">
        <v>2</v>
      </c>
      <c r="H660" s="282">
        <f t="shared" si="31"/>
        <v>2</v>
      </c>
      <c r="I660" s="282">
        <f t="shared" si="31"/>
        <v>2</v>
      </c>
    </row>
    <row r="661" spans="2:9" ht="15" customHeight="1">
      <c r="B661" s="562" t="s">
        <v>2896</v>
      </c>
      <c r="C661" s="565" t="s">
        <v>2897</v>
      </c>
      <c r="D661" s="564"/>
      <c r="E661" s="1124"/>
      <c r="F661" s="1124">
        <v>1</v>
      </c>
      <c r="G661" s="1124">
        <v>1</v>
      </c>
      <c r="H661" s="282">
        <f t="shared" si="31"/>
        <v>1</v>
      </c>
      <c r="I661" s="282">
        <f t="shared" si="31"/>
        <v>1</v>
      </c>
    </row>
    <row r="662" spans="2:9" ht="15" customHeight="1">
      <c r="B662" s="562" t="s">
        <v>2898</v>
      </c>
      <c r="C662" s="565" t="s">
        <v>2899</v>
      </c>
      <c r="D662" s="564"/>
      <c r="E662" s="1124"/>
      <c r="F662" s="1124">
        <v>36</v>
      </c>
      <c r="G662" s="1124">
        <v>15</v>
      </c>
      <c r="H662" s="282">
        <f t="shared" si="31"/>
        <v>36</v>
      </c>
      <c r="I662" s="282">
        <f t="shared" si="31"/>
        <v>15</v>
      </c>
    </row>
    <row r="663" spans="2:9" ht="15" customHeight="1">
      <c r="B663" s="562" t="s">
        <v>2900</v>
      </c>
      <c r="C663" s="565" t="s">
        <v>2074</v>
      </c>
      <c r="D663" s="564"/>
      <c r="E663" s="1124"/>
      <c r="F663" s="1124">
        <v>34</v>
      </c>
      <c r="G663" s="1124">
        <v>15</v>
      </c>
      <c r="H663" s="282">
        <f t="shared" si="31"/>
        <v>34</v>
      </c>
      <c r="I663" s="282">
        <f t="shared" si="31"/>
        <v>15</v>
      </c>
    </row>
    <row r="664" spans="2:9" ht="15" customHeight="1">
      <c r="B664" s="562" t="s">
        <v>2770</v>
      </c>
      <c r="C664" s="565" t="s">
        <v>2771</v>
      </c>
      <c r="D664" s="564"/>
      <c r="E664" s="1124"/>
      <c r="F664" s="1124">
        <v>1092</v>
      </c>
      <c r="G664" s="1124">
        <v>1050</v>
      </c>
      <c r="H664" s="282">
        <f t="shared" si="31"/>
        <v>1092</v>
      </c>
      <c r="I664" s="282">
        <f t="shared" si="31"/>
        <v>1050</v>
      </c>
    </row>
    <row r="665" spans="2:9" ht="15" customHeight="1">
      <c r="B665" s="562" t="s">
        <v>2901</v>
      </c>
      <c r="C665" s="565" t="s">
        <v>2902</v>
      </c>
      <c r="D665" s="564"/>
      <c r="E665" s="1124"/>
      <c r="F665" s="1124">
        <v>777</v>
      </c>
      <c r="G665" s="1124">
        <v>790</v>
      </c>
      <c r="H665" s="282">
        <f t="shared" si="31"/>
        <v>777</v>
      </c>
      <c r="I665" s="282">
        <f t="shared" si="31"/>
        <v>790</v>
      </c>
    </row>
    <row r="666" spans="2:9" ht="15" customHeight="1">
      <c r="B666" s="562" t="s">
        <v>2903</v>
      </c>
      <c r="C666" s="565" t="s">
        <v>2904</v>
      </c>
      <c r="D666" s="564"/>
      <c r="E666" s="1124"/>
      <c r="F666" s="1124">
        <v>6</v>
      </c>
      <c r="G666" s="1124">
        <v>3</v>
      </c>
      <c r="H666" s="282">
        <f t="shared" si="31"/>
        <v>6</v>
      </c>
      <c r="I666" s="282">
        <f t="shared" si="31"/>
        <v>3</v>
      </c>
    </row>
    <row r="667" spans="2:9" ht="15" customHeight="1">
      <c r="B667" s="562" t="s">
        <v>2905</v>
      </c>
      <c r="C667" s="565" t="s">
        <v>2906</v>
      </c>
      <c r="D667" s="564"/>
      <c r="E667" s="1124"/>
      <c r="F667" s="1124">
        <v>264</v>
      </c>
      <c r="G667" s="1124">
        <v>255</v>
      </c>
      <c r="H667" s="282">
        <f t="shared" si="31"/>
        <v>264</v>
      </c>
      <c r="I667" s="282">
        <f t="shared" si="31"/>
        <v>255</v>
      </c>
    </row>
    <row r="668" spans="2:9" ht="15" customHeight="1">
      <c r="B668" s="562" t="s">
        <v>2907</v>
      </c>
      <c r="C668" s="565" t="s">
        <v>2908</v>
      </c>
      <c r="D668" s="564"/>
      <c r="E668" s="1124"/>
      <c r="F668" s="1124">
        <v>36</v>
      </c>
      <c r="G668" s="1124">
        <v>45</v>
      </c>
      <c r="H668" s="282">
        <f t="shared" si="31"/>
        <v>36</v>
      </c>
      <c r="I668" s="282">
        <f t="shared" si="31"/>
        <v>45</v>
      </c>
    </row>
    <row r="669" spans="2:9" ht="15" customHeight="1">
      <c r="B669" s="562" t="s">
        <v>2909</v>
      </c>
      <c r="C669" s="565" t="s">
        <v>2910</v>
      </c>
      <c r="D669" s="564"/>
      <c r="E669" s="1124"/>
      <c r="F669" s="1124">
        <v>59</v>
      </c>
      <c r="G669" s="1124">
        <v>55</v>
      </c>
      <c r="H669" s="282">
        <f t="shared" si="31"/>
        <v>59</v>
      </c>
      <c r="I669" s="282">
        <f t="shared" si="31"/>
        <v>55</v>
      </c>
    </row>
    <row r="670" spans="2:9" ht="15" customHeight="1">
      <c r="B670" s="562" t="s">
        <v>2911</v>
      </c>
      <c r="C670" s="565" t="s">
        <v>2912</v>
      </c>
      <c r="D670" s="564"/>
      <c r="E670" s="1124"/>
      <c r="F670" s="1124">
        <v>50</v>
      </c>
      <c r="G670" s="1124">
        <v>35</v>
      </c>
      <c r="H670" s="282">
        <f t="shared" si="31"/>
        <v>50</v>
      </c>
      <c r="I670" s="282">
        <f t="shared" si="31"/>
        <v>35</v>
      </c>
    </row>
    <row r="671" spans="2:9" ht="15" customHeight="1">
      <c r="B671" s="562" t="s">
        <v>2913</v>
      </c>
      <c r="C671" s="565" t="s">
        <v>2914</v>
      </c>
      <c r="D671" s="564"/>
      <c r="E671" s="1124"/>
      <c r="F671" s="1124">
        <v>139</v>
      </c>
      <c r="G671" s="1124">
        <v>165</v>
      </c>
      <c r="H671" s="282">
        <f t="shared" si="31"/>
        <v>139</v>
      </c>
      <c r="I671" s="282">
        <f t="shared" si="31"/>
        <v>165</v>
      </c>
    </row>
    <row r="672" spans="2:9" ht="15" customHeight="1">
      <c r="B672" s="562" t="s">
        <v>2915</v>
      </c>
      <c r="C672" s="565" t="s">
        <v>2916</v>
      </c>
      <c r="D672" s="564"/>
      <c r="E672" s="1124"/>
      <c r="F672" s="1124">
        <v>46</v>
      </c>
      <c r="G672" s="1124">
        <v>37</v>
      </c>
      <c r="H672" s="282">
        <f t="shared" si="31"/>
        <v>46</v>
      </c>
      <c r="I672" s="282">
        <f t="shared" si="31"/>
        <v>37</v>
      </c>
    </row>
    <row r="673" spans="2:9" ht="15" customHeight="1">
      <c r="B673" s="562" t="s">
        <v>2917</v>
      </c>
      <c r="C673" s="565" t="s">
        <v>2918</v>
      </c>
      <c r="D673" s="564"/>
      <c r="E673" s="1124"/>
      <c r="F673" s="1124">
        <v>68</v>
      </c>
      <c r="G673" s="1124">
        <v>101</v>
      </c>
      <c r="H673" s="282">
        <f t="shared" si="31"/>
        <v>68</v>
      </c>
      <c r="I673" s="282">
        <f t="shared" si="31"/>
        <v>101</v>
      </c>
    </row>
    <row r="674" spans="2:9" ht="15" customHeight="1">
      <c r="B674" s="562" t="s">
        <v>2919</v>
      </c>
      <c r="C674" s="565" t="s">
        <v>2920</v>
      </c>
      <c r="D674" s="564"/>
      <c r="E674" s="1124"/>
      <c r="F674" s="1124">
        <v>14</v>
      </c>
      <c r="G674" s="1124">
        <v>31</v>
      </c>
      <c r="H674" s="282">
        <f t="shared" si="31"/>
        <v>14</v>
      </c>
      <c r="I674" s="282">
        <f t="shared" si="31"/>
        <v>31</v>
      </c>
    </row>
    <row r="675" spans="2:9" ht="15" customHeight="1">
      <c r="B675" s="568" t="s">
        <v>2921</v>
      </c>
      <c r="C675" s="569" t="s">
        <v>2922</v>
      </c>
      <c r="D675" s="570"/>
      <c r="E675" s="468"/>
      <c r="F675" s="1124">
        <v>7</v>
      </c>
      <c r="G675" s="1124">
        <v>13</v>
      </c>
      <c r="H675" s="282">
        <f t="shared" si="31"/>
        <v>7</v>
      </c>
      <c r="I675" s="282">
        <f t="shared" si="31"/>
        <v>13</v>
      </c>
    </row>
    <row r="676" spans="2:9" ht="15" customHeight="1">
      <c r="B676" s="562" t="s">
        <v>2923</v>
      </c>
      <c r="C676" s="565" t="s">
        <v>2924</v>
      </c>
      <c r="D676" s="564"/>
      <c r="E676" s="1124"/>
      <c r="F676" s="1124">
        <v>0</v>
      </c>
      <c r="G676" s="1124">
        <v>1</v>
      </c>
      <c r="H676" s="282">
        <f t="shared" si="31"/>
        <v>0</v>
      </c>
      <c r="I676" s="282">
        <f t="shared" si="31"/>
        <v>1</v>
      </c>
    </row>
    <row r="677" spans="2:9" ht="15" customHeight="1">
      <c r="B677" s="562" t="s">
        <v>2925</v>
      </c>
      <c r="C677" s="565" t="s">
        <v>2926</v>
      </c>
      <c r="D677" s="564"/>
      <c r="E677" s="1124"/>
      <c r="F677" s="1124">
        <v>71</v>
      </c>
      <c r="G677" s="1124">
        <v>67</v>
      </c>
      <c r="H677" s="282">
        <f t="shared" si="31"/>
        <v>71</v>
      </c>
      <c r="I677" s="282">
        <f t="shared" si="31"/>
        <v>67</v>
      </c>
    </row>
    <row r="678" spans="2:9" ht="15" customHeight="1">
      <c r="B678" s="562" t="s">
        <v>2927</v>
      </c>
      <c r="C678" s="565" t="s">
        <v>2928</v>
      </c>
      <c r="D678" s="564"/>
      <c r="E678" s="1124"/>
      <c r="F678" s="1124">
        <v>133</v>
      </c>
      <c r="G678" s="1124">
        <v>108</v>
      </c>
      <c r="H678" s="282">
        <f t="shared" si="31"/>
        <v>133</v>
      </c>
      <c r="I678" s="282">
        <f t="shared" si="31"/>
        <v>108</v>
      </c>
    </row>
    <row r="679" spans="2:9" ht="15" customHeight="1">
      <c r="B679" s="562" t="s">
        <v>2929</v>
      </c>
      <c r="C679" s="565" t="s">
        <v>2930</v>
      </c>
      <c r="D679" s="564"/>
      <c r="E679" s="1124"/>
      <c r="F679" s="1124">
        <v>87</v>
      </c>
      <c r="G679" s="1124">
        <v>48</v>
      </c>
      <c r="H679" s="282">
        <f t="shared" si="31"/>
        <v>87</v>
      </c>
      <c r="I679" s="282">
        <f t="shared" si="31"/>
        <v>48</v>
      </c>
    </row>
    <row r="680" spans="2:9" ht="15" customHeight="1">
      <c r="B680" s="562" t="s">
        <v>2931</v>
      </c>
      <c r="C680" s="565" t="s">
        <v>2932</v>
      </c>
      <c r="D680" s="564"/>
      <c r="E680" s="1124"/>
      <c r="F680" s="1124">
        <v>393</v>
      </c>
      <c r="G680" s="1124">
        <v>326</v>
      </c>
      <c r="H680" s="282">
        <f t="shared" si="31"/>
        <v>393</v>
      </c>
      <c r="I680" s="282">
        <f t="shared" si="31"/>
        <v>326</v>
      </c>
    </row>
    <row r="681" spans="2:9" ht="15" customHeight="1">
      <c r="B681" s="562" t="s">
        <v>2933</v>
      </c>
      <c r="C681" s="565" t="s">
        <v>2934</v>
      </c>
      <c r="D681" s="564"/>
      <c r="E681" s="1124"/>
      <c r="F681" s="1124">
        <v>87</v>
      </c>
      <c r="G681" s="1124">
        <v>66</v>
      </c>
      <c r="H681" s="282">
        <f t="shared" si="31"/>
        <v>87</v>
      </c>
      <c r="I681" s="282">
        <f t="shared" si="31"/>
        <v>66</v>
      </c>
    </row>
    <row r="682" spans="2:9" ht="15" customHeight="1">
      <c r="B682" s="562" t="s">
        <v>2935</v>
      </c>
      <c r="C682" s="565" t="s">
        <v>2936</v>
      </c>
      <c r="D682" s="564"/>
      <c r="E682" s="1124"/>
      <c r="F682" s="1124">
        <v>188</v>
      </c>
      <c r="G682" s="1124">
        <v>251</v>
      </c>
      <c r="H682" s="282">
        <f t="shared" si="31"/>
        <v>188</v>
      </c>
      <c r="I682" s="282">
        <f t="shared" si="31"/>
        <v>251</v>
      </c>
    </row>
    <row r="683" spans="2:9" ht="15" customHeight="1">
      <c r="B683" s="562" t="s">
        <v>2937</v>
      </c>
      <c r="C683" s="565" t="s">
        <v>2938</v>
      </c>
      <c r="D683" s="564"/>
      <c r="E683" s="1124"/>
      <c r="F683" s="1124">
        <v>29</v>
      </c>
      <c r="G683" s="1124">
        <v>52</v>
      </c>
      <c r="H683" s="282">
        <f t="shared" si="31"/>
        <v>29</v>
      </c>
      <c r="I683" s="282">
        <f t="shared" si="31"/>
        <v>52</v>
      </c>
    </row>
    <row r="684" spans="2:9" ht="15" customHeight="1">
      <c r="B684" s="562" t="s">
        <v>2939</v>
      </c>
      <c r="C684" s="571" t="s">
        <v>2940</v>
      </c>
      <c r="D684" s="564"/>
      <c r="E684" s="1124"/>
      <c r="F684" s="1124">
        <v>15</v>
      </c>
      <c r="G684" s="1124">
        <v>46</v>
      </c>
      <c r="H684" s="282">
        <f t="shared" si="31"/>
        <v>15</v>
      </c>
      <c r="I684" s="282">
        <f t="shared" si="31"/>
        <v>46</v>
      </c>
    </row>
    <row r="685" spans="2:9" ht="15" customHeight="1">
      <c r="B685" s="553" t="s">
        <v>2</v>
      </c>
      <c r="C685" s="554"/>
      <c r="D685" s="572">
        <f>SUM(D653:D684)</f>
        <v>0</v>
      </c>
      <c r="E685" s="572">
        <f>SUM(E653:E684)</f>
        <v>0</v>
      </c>
      <c r="F685" s="572">
        <f>SUM(F653:F684)</f>
        <v>4538</v>
      </c>
      <c r="G685" s="572">
        <f>SUM(G653:G684)</f>
        <v>4411</v>
      </c>
      <c r="H685" s="436">
        <f t="shared" si="31"/>
        <v>4538</v>
      </c>
      <c r="I685" s="436">
        <f t="shared" si="31"/>
        <v>4411</v>
      </c>
    </row>
    <row r="686" spans="2:9" ht="15" customHeight="1">
      <c r="B686" s="532"/>
      <c r="C686" s="561" t="s">
        <v>2941</v>
      </c>
      <c r="D686" s="440"/>
      <c r="E686" s="440"/>
      <c r="F686" s="440"/>
      <c r="G686" s="440"/>
      <c r="H686" s="440"/>
      <c r="I686" s="440"/>
    </row>
    <row r="687" spans="2:9" ht="15" customHeight="1">
      <c r="B687" s="573" t="s">
        <v>2342</v>
      </c>
      <c r="C687" s="488" t="s">
        <v>2652</v>
      </c>
      <c r="D687" s="564"/>
      <c r="E687" s="1124"/>
      <c r="F687" s="1124">
        <v>1060</v>
      </c>
      <c r="G687" s="1124">
        <v>1033</v>
      </c>
      <c r="H687" s="282">
        <f t="shared" ref="H687:I692" si="32">D687+F687</f>
        <v>1060</v>
      </c>
      <c r="I687" s="282">
        <f t="shared" si="32"/>
        <v>1033</v>
      </c>
    </row>
    <row r="688" spans="2:9" ht="15" customHeight="1">
      <c r="B688" s="562" t="s">
        <v>2942</v>
      </c>
      <c r="C688" s="574" t="s">
        <v>2943</v>
      </c>
      <c r="D688" s="575"/>
      <c r="E688" s="477"/>
      <c r="F688" s="477">
        <v>130</v>
      </c>
      <c r="G688" s="477">
        <v>186</v>
      </c>
      <c r="H688" s="282">
        <f t="shared" si="32"/>
        <v>130</v>
      </c>
      <c r="I688" s="282">
        <f t="shared" si="32"/>
        <v>186</v>
      </c>
    </row>
    <row r="689" spans="2:9" ht="15" customHeight="1">
      <c r="B689" s="562" t="s">
        <v>2944</v>
      </c>
      <c r="C689" s="567" t="s">
        <v>2068</v>
      </c>
      <c r="D689" s="570"/>
      <c r="E689" s="468"/>
      <c r="F689" s="1124">
        <v>31</v>
      </c>
      <c r="G689" s="1124">
        <v>25</v>
      </c>
      <c r="H689" s="282">
        <f t="shared" si="32"/>
        <v>31</v>
      </c>
      <c r="I689" s="282">
        <f t="shared" si="32"/>
        <v>25</v>
      </c>
    </row>
    <row r="690" spans="2:9" ht="15" customHeight="1">
      <c r="B690" s="562" t="s">
        <v>2086</v>
      </c>
      <c r="C690" s="567" t="s">
        <v>2945</v>
      </c>
      <c r="D690" s="564"/>
      <c r="E690" s="1124"/>
      <c r="F690" s="1124">
        <v>535</v>
      </c>
      <c r="G690" s="1124">
        <v>800</v>
      </c>
      <c r="H690" s="282">
        <f t="shared" si="32"/>
        <v>535</v>
      </c>
      <c r="I690" s="282">
        <f t="shared" si="32"/>
        <v>800</v>
      </c>
    </row>
    <row r="691" spans="2:9" ht="15" customHeight="1">
      <c r="B691" s="562" t="s">
        <v>2102</v>
      </c>
      <c r="C691" s="567" t="s">
        <v>2946</v>
      </c>
      <c r="D691" s="570"/>
      <c r="E691" s="468"/>
      <c r="F691" s="1124">
        <v>1237</v>
      </c>
      <c r="G691" s="1124">
        <v>1167</v>
      </c>
      <c r="H691" s="282">
        <f t="shared" si="32"/>
        <v>1237</v>
      </c>
      <c r="I691" s="282">
        <f t="shared" si="32"/>
        <v>1167</v>
      </c>
    </row>
    <row r="692" spans="2:9" ht="15" customHeight="1">
      <c r="B692" s="553" t="s">
        <v>2</v>
      </c>
      <c r="C692" s="576"/>
      <c r="D692" s="572">
        <f>SUM(D687:D691)</f>
        <v>0</v>
      </c>
      <c r="E692" s="572">
        <f>SUM(E687:E691)</f>
        <v>0</v>
      </c>
      <c r="F692" s="572">
        <f>SUM(F687:F691)</f>
        <v>2993</v>
      </c>
      <c r="G692" s="572">
        <f>SUM(G687:G691)</f>
        <v>3211</v>
      </c>
      <c r="H692" s="436">
        <f t="shared" si="32"/>
        <v>2993</v>
      </c>
      <c r="I692" s="436">
        <f t="shared" si="32"/>
        <v>3211</v>
      </c>
    </row>
    <row r="693" spans="2:9" ht="15" customHeight="1">
      <c r="B693" s="519"/>
      <c r="C693" s="543" t="s">
        <v>55</v>
      </c>
      <c r="D693" s="577"/>
      <c r="E693" s="522"/>
      <c r="F693" s="522"/>
      <c r="G693" s="522"/>
      <c r="H693" s="523"/>
      <c r="I693" s="523"/>
    </row>
    <row r="694" spans="2:9" ht="15" customHeight="1">
      <c r="B694" s="438"/>
      <c r="C694" s="578" t="s">
        <v>2948</v>
      </c>
      <c r="D694" s="440"/>
      <c r="E694" s="440"/>
      <c r="F694" s="440"/>
      <c r="G694" s="440"/>
      <c r="H694" s="440"/>
      <c r="I694" s="440"/>
    </row>
    <row r="695" spans="2:9" ht="15" customHeight="1">
      <c r="B695" s="406" t="s">
        <v>2949</v>
      </c>
      <c r="C695" s="579" t="s">
        <v>2950</v>
      </c>
      <c r="D695" s="564">
        <v>0</v>
      </c>
      <c r="E695" s="1124">
        <v>2</v>
      </c>
      <c r="F695" s="564">
        <v>11</v>
      </c>
      <c r="G695" s="1124">
        <v>8</v>
      </c>
      <c r="H695" s="282">
        <f t="shared" ref="H695:H729" si="33">D695+F695</f>
        <v>11</v>
      </c>
      <c r="I695" s="282">
        <f t="shared" ref="I695:I729" si="34">E695+G695</f>
        <v>10</v>
      </c>
    </row>
    <row r="696" spans="2:9" ht="15" customHeight="1">
      <c r="B696" s="441">
        <v>260001</v>
      </c>
      <c r="C696" s="580" t="s">
        <v>2951</v>
      </c>
      <c r="D696" s="564">
        <v>0</v>
      </c>
      <c r="E696" s="1124">
        <v>0</v>
      </c>
      <c r="F696" s="564">
        <v>8</v>
      </c>
      <c r="G696" s="1124">
        <v>20</v>
      </c>
      <c r="H696" s="282">
        <f t="shared" si="33"/>
        <v>8</v>
      </c>
      <c r="I696" s="282">
        <f t="shared" si="34"/>
        <v>20</v>
      </c>
    </row>
    <row r="697" spans="2:9" ht="15" customHeight="1">
      <c r="B697" s="441">
        <v>260002</v>
      </c>
      <c r="C697" s="580" t="s">
        <v>2952</v>
      </c>
      <c r="D697" s="564">
        <v>0</v>
      </c>
      <c r="E697" s="1124">
        <v>0</v>
      </c>
      <c r="F697" s="564">
        <v>7</v>
      </c>
      <c r="G697" s="1124">
        <v>10</v>
      </c>
      <c r="H697" s="282">
        <f t="shared" si="33"/>
        <v>7</v>
      </c>
      <c r="I697" s="282">
        <f t="shared" si="34"/>
        <v>10</v>
      </c>
    </row>
    <row r="698" spans="2:9" ht="15" customHeight="1">
      <c r="B698" s="441">
        <v>260007</v>
      </c>
      <c r="C698" s="580" t="s">
        <v>2053</v>
      </c>
      <c r="D698" s="564">
        <v>0</v>
      </c>
      <c r="E698" s="1124">
        <v>0</v>
      </c>
      <c r="F698" s="564">
        <v>11</v>
      </c>
      <c r="G698" s="1124">
        <v>5</v>
      </c>
      <c r="H698" s="282">
        <f t="shared" si="33"/>
        <v>11</v>
      </c>
      <c r="I698" s="282">
        <f t="shared" si="34"/>
        <v>5</v>
      </c>
    </row>
    <row r="699" spans="2:9" ht="15" customHeight="1">
      <c r="B699" s="581" t="s">
        <v>2056</v>
      </c>
      <c r="C699" s="582" t="s">
        <v>2653</v>
      </c>
      <c r="D699" s="564">
        <v>17</v>
      </c>
      <c r="E699" s="1124">
        <v>5</v>
      </c>
      <c r="F699" s="564">
        <v>415</v>
      </c>
      <c r="G699" s="1124">
        <v>300</v>
      </c>
      <c r="H699" s="282">
        <f t="shared" si="33"/>
        <v>432</v>
      </c>
      <c r="I699" s="282">
        <f t="shared" si="34"/>
        <v>305</v>
      </c>
    </row>
    <row r="700" spans="2:9" ht="15" customHeight="1">
      <c r="B700" s="406" t="s">
        <v>2069</v>
      </c>
      <c r="C700" s="485" t="s">
        <v>2070</v>
      </c>
      <c r="D700" s="564">
        <v>187</v>
      </c>
      <c r="E700" s="1124">
        <v>150</v>
      </c>
      <c r="F700" s="564">
        <v>1393</v>
      </c>
      <c r="G700" s="1124">
        <v>1500</v>
      </c>
      <c r="H700" s="282">
        <f t="shared" si="33"/>
        <v>1580</v>
      </c>
      <c r="I700" s="282">
        <f t="shared" si="34"/>
        <v>1650</v>
      </c>
    </row>
    <row r="701" spans="2:9" ht="15" customHeight="1">
      <c r="B701" s="406" t="s">
        <v>2071</v>
      </c>
      <c r="C701" s="485" t="s">
        <v>2072</v>
      </c>
      <c r="D701" s="564">
        <v>20</v>
      </c>
      <c r="E701" s="1124">
        <v>30</v>
      </c>
      <c r="F701" s="564">
        <v>116</v>
      </c>
      <c r="G701" s="1124">
        <v>120</v>
      </c>
      <c r="H701" s="282">
        <f t="shared" si="33"/>
        <v>136</v>
      </c>
      <c r="I701" s="282">
        <f t="shared" si="34"/>
        <v>150</v>
      </c>
    </row>
    <row r="702" spans="2:9" ht="15" customHeight="1">
      <c r="B702" s="406" t="s">
        <v>2073</v>
      </c>
      <c r="C702" s="485" t="s">
        <v>2074</v>
      </c>
      <c r="D702" s="564">
        <v>15</v>
      </c>
      <c r="E702" s="1124">
        <v>20</v>
      </c>
      <c r="F702" s="564">
        <v>114</v>
      </c>
      <c r="G702" s="1124">
        <v>100</v>
      </c>
      <c r="H702" s="282">
        <f t="shared" si="33"/>
        <v>129</v>
      </c>
      <c r="I702" s="282">
        <f t="shared" si="34"/>
        <v>120</v>
      </c>
    </row>
    <row r="703" spans="2:9" ht="15" customHeight="1">
      <c r="B703" s="406" t="s">
        <v>2953</v>
      </c>
      <c r="C703" s="485" t="s">
        <v>2954</v>
      </c>
      <c r="D703" s="564">
        <v>14</v>
      </c>
      <c r="E703" s="1124">
        <v>20</v>
      </c>
      <c r="F703" s="564">
        <v>16</v>
      </c>
      <c r="G703" s="1124">
        <v>30</v>
      </c>
      <c r="H703" s="282">
        <f t="shared" si="33"/>
        <v>30</v>
      </c>
      <c r="I703" s="282">
        <f t="shared" si="34"/>
        <v>50</v>
      </c>
    </row>
    <row r="704" spans="2:9" ht="15" customHeight="1">
      <c r="B704" s="406" t="s">
        <v>2641</v>
      </c>
      <c r="C704" s="485" t="s">
        <v>2362</v>
      </c>
      <c r="D704" s="564">
        <v>0</v>
      </c>
      <c r="E704" s="1124">
        <v>0</v>
      </c>
      <c r="F704" s="564">
        <v>11</v>
      </c>
      <c r="G704" s="1124">
        <v>10</v>
      </c>
      <c r="H704" s="282">
        <f t="shared" si="33"/>
        <v>11</v>
      </c>
      <c r="I704" s="282">
        <f t="shared" si="34"/>
        <v>10</v>
      </c>
    </row>
    <row r="705" spans="2:10" ht="15" customHeight="1">
      <c r="B705" s="1089" t="s">
        <v>2955</v>
      </c>
      <c r="C705" s="485" t="s">
        <v>2956</v>
      </c>
      <c r="D705" s="564">
        <v>206</v>
      </c>
      <c r="E705" s="1124">
        <v>200</v>
      </c>
      <c r="F705" s="564">
        <v>104</v>
      </c>
      <c r="G705" s="1124">
        <v>150</v>
      </c>
      <c r="H705" s="282">
        <f t="shared" si="33"/>
        <v>310</v>
      </c>
      <c r="I705" s="282">
        <f t="shared" si="34"/>
        <v>350</v>
      </c>
    </row>
    <row r="706" spans="2:10" ht="15" customHeight="1">
      <c r="B706" s="406" t="s">
        <v>2957</v>
      </c>
      <c r="C706" s="485" t="s">
        <v>2958</v>
      </c>
      <c r="D706" s="564">
        <v>7581</v>
      </c>
      <c r="E706" s="1124">
        <v>2500</v>
      </c>
      <c r="F706" s="564">
        <v>1271</v>
      </c>
      <c r="G706" s="1124">
        <v>3000</v>
      </c>
      <c r="H706" s="282">
        <f t="shared" si="33"/>
        <v>8852</v>
      </c>
      <c r="I706" s="282">
        <f t="shared" si="34"/>
        <v>5500</v>
      </c>
      <c r="J706" s="362"/>
    </row>
    <row r="707" spans="2:10" ht="15" customHeight="1">
      <c r="B707" s="581" t="s">
        <v>2959</v>
      </c>
      <c r="C707" s="582" t="s">
        <v>2960</v>
      </c>
      <c r="D707" s="564">
        <v>294</v>
      </c>
      <c r="E707" s="1124">
        <v>292</v>
      </c>
      <c r="F707" s="564">
        <v>113</v>
      </c>
      <c r="G707" s="1124">
        <v>200</v>
      </c>
      <c r="H707" s="282">
        <f t="shared" si="33"/>
        <v>407</v>
      </c>
      <c r="I707" s="282">
        <f t="shared" si="34"/>
        <v>492</v>
      </c>
    </row>
    <row r="708" spans="2:10" ht="15" customHeight="1">
      <c r="B708" s="581" t="s">
        <v>2369</v>
      </c>
      <c r="C708" s="582" t="s">
        <v>2370</v>
      </c>
      <c r="D708" s="564">
        <v>328</v>
      </c>
      <c r="E708" s="1124">
        <v>292</v>
      </c>
      <c r="F708" s="564">
        <v>118</v>
      </c>
      <c r="G708" s="1124">
        <v>200</v>
      </c>
      <c r="H708" s="282">
        <f t="shared" si="33"/>
        <v>446</v>
      </c>
      <c r="I708" s="282">
        <f t="shared" si="34"/>
        <v>492</v>
      </c>
    </row>
    <row r="709" spans="2:10" ht="15" customHeight="1">
      <c r="B709" s="406" t="s">
        <v>2855</v>
      </c>
      <c r="C709" s="485" t="s">
        <v>2856</v>
      </c>
      <c r="D709" s="564">
        <v>362</v>
      </c>
      <c r="E709" s="1124">
        <v>292</v>
      </c>
      <c r="F709" s="564">
        <v>113</v>
      </c>
      <c r="G709" s="1124">
        <v>200</v>
      </c>
      <c r="H709" s="282">
        <f t="shared" si="33"/>
        <v>475</v>
      </c>
      <c r="I709" s="282">
        <f t="shared" si="34"/>
        <v>492</v>
      </c>
    </row>
    <row r="710" spans="2:10" ht="15" customHeight="1">
      <c r="B710" s="583" t="s">
        <v>2086</v>
      </c>
      <c r="C710" s="485" t="s">
        <v>2087</v>
      </c>
      <c r="D710" s="564">
        <v>218</v>
      </c>
      <c r="E710" s="1124">
        <v>252</v>
      </c>
      <c r="F710" s="564">
        <v>315</v>
      </c>
      <c r="G710" s="1124">
        <v>168</v>
      </c>
      <c r="H710" s="282">
        <f t="shared" si="33"/>
        <v>533</v>
      </c>
      <c r="I710" s="282">
        <f t="shared" si="34"/>
        <v>420</v>
      </c>
    </row>
    <row r="711" spans="2:10" ht="15" customHeight="1">
      <c r="B711" s="1089" t="s">
        <v>2088</v>
      </c>
      <c r="C711" s="485" t="s">
        <v>2961</v>
      </c>
      <c r="D711" s="564">
        <v>0</v>
      </c>
      <c r="E711" s="1124">
        <v>0</v>
      </c>
      <c r="F711" s="564">
        <v>0</v>
      </c>
      <c r="G711" s="1124">
        <v>3</v>
      </c>
      <c r="H711" s="282">
        <f t="shared" si="33"/>
        <v>0</v>
      </c>
      <c r="I711" s="282">
        <f t="shared" si="34"/>
        <v>3</v>
      </c>
    </row>
    <row r="712" spans="2:10" ht="15" customHeight="1">
      <c r="B712" s="1089" t="s">
        <v>2090</v>
      </c>
      <c r="C712" s="485" t="s">
        <v>2091</v>
      </c>
      <c r="D712" s="564">
        <v>0</v>
      </c>
      <c r="E712" s="1124">
        <v>0</v>
      </c>
      <c r="F712" s="564">
        <v>18</v>
      </c>
      <c r="G712" s="1124">
        <v>50</v>
      </c>
      <c r="H712" s="282">
        <f t="shared" si="33"/>
        <v>18</v>
      </c>
      <c r="I712" s="282">
        <f t="shared" si="34"/>
        <v>50</v>
      </c>
    </row>
    <row r="713" spans="2:10" ht="15" customHeight="1">
      <c r="B713" s="1089" t="s">
        <v>2092</v>
      </c>
      <c r="C713" s="485" t="s">
        <v>2093</v>
      </c>
      <c r="D713" s="564">
        <v>103</v>
      </c>
      <c r="E713" s="1124">
        <v>50</v>
      </c>
      <c r="F713" s="564">
        <v>57</v>
      </c>
      <c r="G713" s="1124">
        <v>200</v>
      </c>
      <c r="H713" s="282">
        <f t="shared" si="33"/>
        <v>160</v>
      </c>
      <c r="I713" s="282">
        <f t="shared" si="34"/>
        <v>250</v>
      </c>
    </row>
    <row r="714" spans="2:10" ht="15" customHeight="1">
      <c r="B714" s="1089" t="s">
        <v>2962</v>
      </c>
      <c r="C714" s="485" t="s">
        <v>2963</v>
      </c>
      <c r="D714" s="564">
        <v>0</v>
      </c>
      <c r="E714" s="1124">
        <v>2</v>
      </c>
      <c r="F714" s="564">
        <v>0</v>
      </c>
      <c r="G714" s="1124">
        <v>1</v>
      </c>
      <c r="H714" s="282">
        <f t="shared" si="33"/>
        <v>0</v>
      </c>
      <c r="I714" s="282">
        <f t="shared" si="34"/>
        <v>3</v>
      </c>
    </row>
    <row r="715" spans="2:10" ht="15" customHeight="1">
      <c r="B715" s="1089" t="s">
        <v>2094</v>
      </c>
      <c r="C715" s="485" t="s">
        <v>2375</v>
      </c>
      <c r="D715" s="564">
        <v>481</v>
      </c>
      <c r="E715" s="1124">
        <v>500</v>
      </c>
      <c r="F715" s="564">
        <v>1691</v>
      </c>
      <c r="G715" s="1124">
        <v>3500</v>
      </c>
      <c r="H715" s="282">
        <f t="shared" si="33"/>
        <v>2172</v>
      </c>
      <c r="I715" s="282">
        <f t="shared" si="34"/>
        <v>4000</v>
      </c>
    </row>
    <row r="716" spans="2:10" ht="15" customHeight="1">
      <c r="B716" s="1089" t="s">
        <v>2096</v>
      </c>
      <c r="C716" s="485" t="s">
        <v>2097</v>
      </c>
      <c r="D716" s="564">
        <v>0</v>
      </c>
      <c r="E716" s="1124">
        <v>0</v>
      </c>
      <c r="F716" s="564">
        <v>9086</v>
      </c>
      <c r="G716" s="1124">
        <v>7300</v>
      </c>
      <c r="H716" s="282">
        <f t="shared" si="33"/>
        <v>9086</v>
      </c>
      <c r="I716" s="282">
        <f t="shared" si="34"/>
        <v>7300</v>
      </c>
    </row>
    <row r="717" spans="2:10" ht="15" customHeight="1">
      <c r="B717" s="1089" t="s">
        <v>2098</v>
      </c>
      <c r="C717" s="485" t="s">
        <v>2099</v>
      </c>
      <c r="D717" s="564">
        <v>938</v>
      </c>
      <c r="E717" s="1124">
        <v>100</v>
      </c>
      <c r="F717" s="564">
        <v>4682</v>
      </c>
      <c r="G717" s="1124">
        <v>3000</v>
      </c>
      <c r="H717" s="282">
        <f t="shared" si="33"/>
        <v>5620</v>
      </c>
      <c r="I717" s="282">
        <f t="shared" si="34"/>
        <v>3100</v>
      </c>
    </row>
    <row r="718" spans="2:10" ht="15" customHeight="1">
      <c r="B718" s="1089" t="s">
        <v>2964</v>
      </c>
      <c r="C718" s="485" t="s">
        <v>2965</v>
      </c>
      <c r="D718" s="564">
        <v>54</v>
      </c>
      <c r="E718" s="1124">
        <v>10</v>
      </c>
      <c r="F718" s="564">
        <v>1288</v>
      </c>
      <c r="G718" s="1124">
        <v>1500</v>
      </c>
      <c r="H718" s="282">
        <f t="shared" si="33"/>
        <v>1342</v>
      </c>
      <c r="I718" s="282">
        <f t="shared" si="34"/>
        <v>1510</v>
      </c>
    </row>
    <row r="719" spans="2:10" ht="15" customHeight="1">
      <c r="B719" s="1089" t="s">
        <v>2100</v>
      </c>
      <c r="C719" s="485" t="s">
        <v>2101</v>
      </c>
      <c r="D719" s="564">
        <v>295</v>
      </c>
      <c r="E719" s="1124">
        <v>150</v>
      </c>
      <c r="F719" s="564">
        <v>4254</v>
      </c>
      <c r="G719" s="1124">
        <v>3000</v>
      </c>
      <c r="H719" s="282">
        <f t="shared" si="33"/>
        <v>4549</v>
      </c>
      <c r="I719" s="282">
        <f t="shared" si="34"/>
        <v>3150</v>
      </c>
    </row>
    <row r="720" spans="2:10" ht="15" customHeight="1">
      <c r="B720" s="1089" t="s">
        <v>2102</v>
      </c>
      <c r="C720" s="485" t="s">
        <v>2103</v>
      </c>
      <c r="D720" s="564">
        <v>7384</v>
      </c>
      <c r="E720" s="1124">
        <v>600</v>
      </c>
      <c r="F720" s="564">
        <v>12544</v>
      </c>
      <c r="G720" s="1124">
        <v>10000</v>
      </c>
      <c r="H720" s="282">
        <f t="shared" si="33"/>
        <v>19928</v>
      </c>
      <c r="I720" s="282">
        <f t="shared" si="34"/>
        <v>10600</v>
      </c>
    </row>
    <row r="721" spans="2:9" ht="17.25" customHeight="1">
      <c r="B721" s="1089" t="s">
        <v>2104</v>
      </c>
      <c r="C721" s="485" t="s">
        <v>2105</v>
      </c>
      <c r="D721" s="564">
        <v>4636</v>
      </c>
      <c r="E721" s="1124">
        <v>1500</v>
      </c>
      <c r="F721" s="564">
        <v>28791</v>
      </c>
      <c r="G721" s="1124">
        <v>35000</v>
      </c>
      <c r="H721" s="282">
        <f t="shared" si="33"/>
        <v>33427</v>
      </c>
      <c r="I721" s="282">
        <f t="shared" si="34"/>
        <v>36500</v>
      </c>
    </row>
    <row r="722" spans="2:9" ht="15" customHeight="1">
      <c r="B722" s="1089" t="s">
        <v>2966</v>
      </c>
      <c r="C722" s="485" t="s">
        <v>2967</v>
      </c>
      <c r="D722" s="564">
        <v>14</v>
      </c>
      <c r="E722" s="1124">
        <v>30</v>
      </c>
      <c r="F722" s="564">
        <v>2299</v>
      </c>
      <c r="G722" s="1124">
        <v>2500</v>
      </c>
      <c r="H722" s="282">
        <f t="shared" si="33"/>
        <v>2313</v>
      </c>
      <c r="I722" s="282">
        <f t="shared" si="34"/>
        <v>2530</v>
      </c>
    </row>
    <row r="723" spans="2:9" ht="17.25" customHeight="1">
      <c r="B723" s="1089" t="s">
        <v>2804</v>
      </c>
      <c r="C723" s="584" t="s">
        <v>2968</v>
      </c>
      <c r="D723" s="564">
        <v>166</v>
      </c>
      <c r="E723" s="1124">
        <v>30</v>
      </c>
      <c r="F723" s="564">
        <v>2506</v>
      </c>
      <c r="G723" s="1124">
        <v>2000</v>
      </c>
      <c r="H723" s="282">
        <f t="shared" si="33"/>
        <v>2672</v>
      </c>
      <c r="I723" s="282">
        <f t="shared" si="34"/>
        <v>2030</v>
      </c>
    </row>
    <row r="724" spans="2:9" ht="15" customHeight="1">
      <c r="B724" s="1089" t="s">
        <v>2969</v>
      </c>
      <c r="C724" s="431" t="s">
        <v>2970</v>
      </c>
      <c r="D724" s="564">
        <v>0</v>
      </c>
      <c r="E724" s="1124">
        <v>0</v>
      </c>
      <c r="F724" s="564">
        <v>0</v>
      </c>
      <c r="G724" s="1124">
        <v>60</v>
      </c>
      <c r="H724" s="282">
        <f t="shared" si="33"/>
        <v>0</v>
      </c>
      <c r="I724" s="282">
        <f t="shared" si="34"/>
        <v>60</v>
      </c>
    </row>
    <row r="725" spans="2:9" ht="15" customHeight="1">
      <c r="B725" s="1089" t="s">
        <v>2108</v>
      </c>
      <c r="C725" s="431" t="s">
        <v>2109</v>
      </c>
      <c r="D725" s="564">
        <v>0</v>
      </c>
      <c r="E725" s="1124">
        <v>0</v>
      </c>
      <c r="F725" s="564">
        <v>875</v>
      </c>
      <c r="G725" s="1124">
        <v>500</v>
      </c>
      <c r="H725" s="282">
        <f t="shared" si="33"/>
        <v>875</v>
      </c>
      <c r="I725" s="282">
        <f t="shared" si="34"/>
        <v>500</v>
      </c>
    </row>
    <row r="726" spans="2:9" ht="15" customHeight="1">
      <c r="B726" s="518" t="s">
        <v>2862</v>
      </c>
      <c r="C726" s="431" t="s">
        <v>2863</v>
      </c>
      <c r="D726" s="575">
        <v>0</v>
      </c>
      <c r="E726" s="477">
        <v>0</v>
      </c>
      <c r="F726" s="575">
        <v>35</v>
      </c>
      <c r="G726" s="477">
        <v>20</v>
      </c>
      <c r="H726" s="515">
        <f t="shared" si="33"/>
        <v>35</v>
      </c>
      <c r="I726" s="515">
        <f t="shared" si="34"/>
        <v>20</v>
      </c>
    </row>
    <row r="727" spans="2:9" ht="15" customHeight="1">
      <c r="B727" s="1089" t="s">
        <v>2378</v>
      </c>
      <c r="C727" s="406" t="s">
        <v>2379</v>
      </c>
      <c r="D727" s="564">
        <v>0</v>
      </c>
      <c r="E727" s="1124">
        <v>0</v>
      </c>
      <c r="F727" s="564">
        <v>907</v>
      </c>
      <c r="G727" s="1124">
        <v>500</v>
      </c>
      <c r="H727" s="282">
        <f t="shared" si="33"/>
        <v>907</v>
      </c>
      <c r="I727" s="282">
        <f t="shared" si="34"/>
        <v>500</v>
      </c>
    </row>
    <row r="728" spans="2:9" ht="15.75" customHeight="1">
      <c r="B728" s="1089" t="s">
        <v>2380</v>
      </c>
      <c r="C728" s="406" t="s">
        <v>2971</v>
      </c>
      <c r="D728" s="564">
        <v>1327</v>
      </c>
      <c r="E728" s="1124">
        <v>400</v>
      </c>
      <c r="F728" s="564">
        <v>32626</v>
      </c>
      <c r="G728" s="1124">
        <v>28000</v>
      </c>
      <c r="H728" s="282">
        <f t="shared" si="33"/>
        <v>33953</v>
      </c>
      <c r="I728" s="282">
        <f t="shared" si="34"/>
        <v>28400</v>
      </c>
    </row>
    <row r="729" spans="2:9" ht="15" customHeight="1">
      <c r="B729" s="553" t="s">
        <v>2</v>
      </c>
      <c r="C729" s="585"/>
      <c r="D729" s="541">
        <f>SUM(D695:D728)</f>
        <v>24640</v>
      </c>
      <c r="E729" s="541">
        <f>SUM(E695:E728)</f>
        <v>7427</v>
      </c>
      <c r="F729" s="541">
        <f>SUM(F695:F728)</f>
        <v>105795</v>
      </c>
      <c r="G729" s="541">
        <f>SUM(G695:G728)</f>
        <v>103155</v>
      </c>
      <c r="H729" s="436">
        <f t="shared" si="33"/>
        <v>130435</v>
      </c>
      <c r="I729" s="436">
        <f t="shared" si="34"/>
        <v>110582</v>
      </c>
    </row>
    <row r="730" spans="2:9" ht="15" customHeight="1">
      <c r="B730" s="438"/>
      <c r="C730" s="447" t="s">
        <v>2972</v>
      </c>
      <c r="D730" s="440"/>
      <c r="E730" s="440"/>
      <c r="F730" s="440"/>
      <c r="G730" s="440"/>
      <c r="H730" s="440"/>
      <c r="I730" s="440"/>
    </row>
    <row r="731" spans="2:9" ht="15" customHeight="1">
      <c r="B731" s="406" t="s">
        <v>2871</v>
      </c>
      <c r="C731" s="530" t="s">
        <v>2652</v>
      </c>
      <c r="D731" s="564">
        <v>15423</v>
      </c>
      <c r="E731" s="1124">
        <v>20000</v>
      </c>
      <c r="F731" s="564">
        <v>7193</v>
      </c>
      <c r="G731" s="1124">
        <v>12000</v>
      </c>
      <c r="H731" s="282">
        <f t="shared" ref="H731:H740" si="35">D731+F731</f>
        <v>22616</v>
      </c>
      <c r="I731" s="282">
        <f t="shared" ref="H731:I741" si="36">E731+G731</f>
        <v>32000</v>
      </c>
    </row>
    <row r="732" spans="2:9" ht="15" customHeight="1">
      <c r="B732" s="406" t="s">
        <v>3850</v>
      </c>
      <c r="C732" s="448" t="s">
        <v>3851</v>
      </c>
      <c r="D732" s="1124">
        <v>150</v>
      </c>
      <c r="E732" s="1124">
        <v>80</v>
      </c>
      <c r="F732" s="1124">
        <v>8</v>
      </c>
      <c r="G732" s="1124">
        <v>10</v>
      </c>
      <c r="H732" s="1123">
        <f t="shared" si="35"/>
        <v>158</v>
      </c>
      <c r="I732" s="1123">
        <v>50</v>
      </c>
    </row>
    <row r="733" spans="2:9" ht="15" customHeight="1">
      <c r="B733" s="406" t="s">
        <v>2973</v>
      </c>
      <c r="C733" s="431" t="s">
        <v>2974</v>
      </c>
      <c r="D733" s="564">
        <v>120</v>
      </c>
      <c r="E733" s="1124">
        <v>160</v>
      </c>
      <c r="F733" s="564">
        <v>2</v>
      </c>
      <c r="G733" s="1124">
        <v>10</v>
      </c>
      <c r="H733" s="282">
        <f t="shared" si="35"/>
        <v>122</v>
      </c>
      <c r="I733" s="282">
        <f t="shared" si="36"/>
        <v>170</v>
      </c>
    </row>
    <row r="734" spans="2:9" ht="15" customHeight="1">
      <c r="B734" s="406" t="s">
        <v>2111</v>
      </c>
      <c r="C734" s="416" t="s">
        <v>2112</v>
      </c>
      <c r="D734" s="564">
        <v>15401</v>
      </c>
      <c r="E734" s="1124">
        <v>20000</v>
      </c>
      <c r="F734" s="564">
        <v>4036</v>
      </c>
      <c r="G734" s="1124">
        <v>6000</v>
      </c>
      <c r="H734" s="282">
        <f t="shared" si="35"/>
        <v>19437</v>
      </c>
      <c r="I734" s="282">
        <f t="shared" si="36"/>
        <v>26000</v>
      </c>
    </row>
    <row r="735" spans="2:9" ht="15" customHeight="1">
      <c r="B735" s="406" t="s">
        <v>2975</v>
      </c>
      <c r="C735" s="486" t="s">
        <v>2976</v>
      </c>
      <c r="D735" s="564">
        <v>1</v>
      </c>
      <c r="E735" s="1124">
        <v>20</v>
      </c>
      <c r="F735" s="564">
        <v>106</v>
      </c>
      <c r="G735" s="1124">
        <v>50</v>
      </c>
      <c r="H735" s="282">
        <f t="shared" si="35"/>
        <v>107</v>
      </c>
      <c r="I735" s="282">
        <f t="shared" si="36"/>
        <v>70</v>
      </c>
    </row>
    <row r="736" spans="2:9" ht="15" customHeight="1">
      <c r="B736" s="406" t="s">
        <v>2113</v>
      </c>
      <c r="C736" s="1088" t="s">
        <v>2114</v>
      </c>
      <c r="D736" s="564">
        <v>108</v>
      </c>
      <c r="E736" s="1124">
        <v>100</v>
      </c>
      <c r="F736" s="564">
        <v>3295</v>
      </c>
      <c r="G736" s="1124">
        <v>5000</v>
      </c>
      <c r="H736" s="282">
        <f t="shared" si="35"/>
        <v>3403</v>
      </c>
      <c r="I736" s="282">
        <f t="shared" si="36"/>
        <v>5100</v>
      </c>
    </row>
    <row r="737" spans="2:9" ht="15" customHeight="1">
      <c r="B737" s="406" t="s">
        <v>2977</v>
      </c>
      <c r="C737" s="1088" t="s">
        <v>2978</v>
      </c>
      <c r="D737" s="564">
        <v>0</v>
      </c>
      <c r="E737" s="1124">
        <v>8</v>
      </c>
      <c r="F737" s="564">
        <v>0</v>
      </c>
      <c r="G737" s="1124">
        <v>4</v>
      </c>
      <c r="H737" s="282">
        <f t="shared" si="35"/>
        <v>0</v>
      </c>
      <c r="I737" s="282">
        <f t="shared" si="36"/>
        <v>12</v>
      </c>
    </row>
    <row r="738" spans="2:9" ht="15" customHeight="1">
      <c r="B738" s="406" t="s">
        <v>2979</v>
      </c>
      <c r="C738" s="431" t="s">
        <v>2980</v>
      </c>
      <c r="D738" s="564">
        <v>416</v>
      </c>
      <c r="E738" s="1124">
        <v>1320</v>
      </c>
      <c r="F738" s="564">
        <v>94</v>
      </c>
      <c r="G738" s="1124">
        <v>220</v>
      </c>
      <c r="H738" s="282">
        <f t="shared" si="35"/>
        <v>510</v>
      </c>
      <c r="I738" s="282">
        <f t="shared" si="36"/>
        <v>1540</v>
      </c>
    </row>
    <row r="739" spans="2:9" ht="15" customHeight="1">
      <c r="B739" s="406" t="s">
        <v>2129</v>
      </c>
      <c r="C739" s="416" t="s">
        <v>2130</v>
      </c>
      <c r="D739" s="564">
        <v>0</v>
      </c>
      <c r="E739" s="1124">
        <v>0</v>
      </c>
      <c r="F739" s="564">
        <v>1930</v>
      </c>
      <c r="G739" s="1124">
        <v>2000</v>
      </c>
      <c r="H739" s="282">
        <f t="shared" si="35"/>
        <v>1930</v>
      </c>
      <c r="I739" s="282">
        <f t="shared" si="36"/>
        <v>2000</v>
      </c>
    </row>
    <row r="740" spans="2:9" ht="15" customHeight="1">
      <c r="B740" s="406" t="s">
        <v>2981</v>
      </c>
      <c r="C740" s="416" t="s">
        <v>2982</v>
      </c>
      <c r="D740" s="564">
        <v>4</v>
      </c>
      <c r="E740" s="1124">
        <v>200</v>
      </c>
      <c r="F740" s="564">
        <v>4532</v>
      </c>
      <c r="G740" s="1124">
        <v>2000</v>
      </c>
      <c r="H740" s="282">
        <f t="shared" si="35"/>
        <v>4536</v>
      </c>
      <c r="I740" s="282">
        <f t="shared" si="36"/>
        <v>2200</v>
      </c>
    </row>
    <row r="741" spans="2:9" ht="15" customHeight="1">
      <c r="B741" s="509" t="s">
        <v>2</v>
      </c>
      <c r="C741" s="586"/>
      <c r="D741" s="423">
        <f>SUM(D731:D740)</f>
        <v>31623</v>
      </c>
      <c r="E741" s="423">
        <f>SUM(E731:E740)</f>
        <v>41888</v>
      </c>
      <c r="F741" s="423">
        <f>SUM(F731:F740)</f>
        <v>21196</v>
      </c>
      <c r="G741" s="423">
        <f>SUM(G731:G740)</f>
        <v>27294</v>
      </c>
      <c r="H741" s="424">
        <f t="shared" si="36"/>
        <v>52819</v>
      </c>
      <c r="I741" s="424">
        <f t="shared" si="36"/>
        <v>69182</v>
      </c>
    </row>
    <row r="742" spans="2:9" ht="15" customHeight="1">
      <c r="B742" s="587"/>
      <c r="C742" s="588" t="s">
        <v>55</v>
      </c>
      <c r="D742" s="589"/>
      <c r="E742" s="526"/>
      <c r="F742" s="526"/>
      <c r="G742" s="526"/>
      <c r="H742" s="527"/>
      <c r="I742" s="527"/>
    </row>
    <row r="743" spans="2:9" ht="18.75" customHeight="1">
      <c r="B743" s="438"/>
      <c r="C743" s="578" t="s">
        <v>2986</v>
      </c>
      <c r="D743" s="440"/>
      <c r="E743" s="440"/>
      <c r="F743" s="440"/>
      <c r="G743" s="440"/>
      <c r="H743" s="440"/>
      <c r="I743" s="440"/>
    </row>
    <row r="744" spans="2:9" ht="15" customHeight="1">
      <c r="B744" s="590" t="s">
        <v>2987</v>
      </c>
      <c r="C744" s="591" t="s">
        <v>2988</v>
      </c>
      <c r="D744" s="1124">
        <v>6</v>
      </c>
      <c r="E744" s="1124">
        <v>6</v>
      </c>
      <c r="F744" s="1124"/>
      <c r="G744" s="1124"/>
      <c r="H744" s="592">
        <f t="shared" ref="H744:I746" si="37">D744+F744</f>
        <v>6</v>
      </c>
      <c r="I744" s="592">
        <f t="shared" si="37"/>
        <v>6</v>
      </c>
    </row>
    <row r="745" spans="2:9" ht="15" customHeight="1">
      <c r="B745" s="917" t="s">
        <v>2989</v>
      </c>
      <c r="C745" s="918" t="s">
        <v>2990</v>
      </c>
      <c r="D745" s="919">
        <v>2</v>
      </c>
      <c r="E745" s="919">
        <v>5</v>
      </c>
      <c r="F745" s="919"/>
      <c r="G745" s="919"/>
      <c r="H745" s="920">
        <f t="shared" si="37"/>
        <v>2</v>
      </c>
      <c r="I745" s="920">
        <f t="shared" si="37"/>
        <v>5</v>
      </c>
    </row>
    <row r="746" spans="2:9" ht="15" customHeight="1">
      <c r="B746" s="593" t="s">
        <v>2855</v>
      </c>
      <c r="C746" s="599" t="s">
        <v>2991</v>
      </c>
      <c r="D746" s="1124">
        <v>2</v>
      </c>
      <c r="E746" s="1124">
        <v>5</v>
      </c>
      <c r="F746" s="1124"/>
      <c r="G746" s="1124"/>
      <c r="H746" s="592">
        <f t="shared" si="37"/>
        <v>2</v>
      </c>
      <c r="I746" s="592">
        <f t="shared" si="37"/>
        <v>5</v>
      </c>
    </row>
    <row r="747" spans="2:9" ht="15" customHeight="1">
      <c r="B747" s="593" t="s">
        <v>2849</v>
      </c>
      <c r="C747" s="599" t="s">
        <v>3686</v>
      </c>
      <c r="D747" s="1124">
        <v>157</v>
      </c>
      <c r="E747" s="1124">
        <v>5</v>
      </c>
      <c r="F747" s="1124"/>
      <c r="G747" s="1124"/>
      <c r="H747" s="1124">
        <v>0</v>
      </c>
      <c r="I747" s="1124">
        <v>50</v>
      </c>
    </row>
    <row r="748" spans="2:9" ht="15" customHeight="1">
      <c r="B748" s="593" t="s">
        <v>2086</v>
      </c>
      <c r="C748" s="599" t="s">
        <v>3975</v>
      </c>
      <c r="D748" s="1124">
        <v>7</v>
      </c>
      <c r="E748" s="1124">
        <v>5</v>
      </c>
      <c r="F748" s="1124"/>
      <c r="G748" s="1124"/>
      <c r="H748" s="1124">
        <v>0</v>
      </c>
      <c r="I748" s="1124">
        <v>30</v>
      </c>
    </row>
    <row r="749" spans="2:9" ht="15" customHeight="1">
      <c r="B749" s="593" t="s">
        <v>2092</v>
      </c>
      <c r="C749" s="599" t="s">
        <v>3687</v>
      </c>
      <c r="D749" s="1124">
        <v>285</v>
      </c>
      <c r="E749" s="1124">
        <v>1</v>
      </c>
      <c r="F749" s="292"/>
      <c r="G749" s="292"/>
      <c r="H749" s="1124">
        <v>0</v>
      </c>
      <c r="I749" s="1124">
        <v>30</v>
      </c>
    </row>
    <row r="750" spans="2:9" ht="15" customHeight="1">
      <c r="B750" s="593" t="s">
        <v>2094</v>
      </c>
      <c r="C750" s="599" t="s">
        <v>3688</v>
      </c>
      <c r="D750" s="1124">
        <v>200</v>
      </c>
      <c r="E750" s="1124">
        <v>1</v>
      </c>
      <c r="F750" s="1124"/>
      <c r="G750" s="1124"/>
      <c r="H750" s="1124">
        <v>0</v>
      </c>
      <c r="I750" s="1124">
        <v>20</v>
      </c>
    </row>
    <row r="751" spans="2:9" ht="15" customHeight="1">
      <c r="B751" s="593" t="s">
        <v>2096</v>
      </c>
      <c r="C751" s="599" t="s">
        <v>3689</v>
      </c>
      <c r="D751" s="1124">
        <v>140</v>
      </c>
      <c r="E751" s="1124">
        <v>1</v>
      </c>
      <c r="F751" s="1124"/>
      <c r="G751" s="1124"/>
      <c r="H751" s="1124">
        <v>0</v>
      </c>
      <c r="I751" s="1124">
        <v>10</v>
      </c>
    </row>
    <row r="752" spans="2:9" ht="15" customHeight="1">
      <c r="B752" s="593" t="s">
        <v>2098</v>
      </c>
      <c r="C752" s="599" t="s">
        <v>3974</v>
      </c>
      <c r="D752" s="1124">
        <v>205</v>
      </c>
      <c r="E752" s="1124">
        <v>1</v>
      </c>
      <c r="F752" s="1124"/>
      <c r="G752" s="1124"/>
      <c r="H752" s="1124">
        <v>0</v>
      </c>
      <c r="I752" s="1124">
        <v>142</v>
      </c>
    </row>
    <row r="753" spans="2:10" ht="15" customHeight="1">
      <c r="B753" s="593" t="s">
        <v>2100</v>
      </c>
      <c r="C753" s="599" t="s">
        <v>3972</v>
      </c>
      <c r="D753" s="1124">
        <v>4</v>
      </c>
      <c r="E753" s="1124">
        <v>1</v>
      </c>
      <c r="F753" s="292"/>
      <c r="G753" s="292"/>
      <c r="H753" s="1124">
        <v>0</v>
      </c>
      <c r="I753" s="1124">
        <v>10</v>
      </c>
    </row>
    <row r="754" spans="2:10" ht="15" customHeight="1">
      <c r="B754" s="593" t="s">
        <v>2102</v>
      </c>
      <c r="C754" s="599" t="s">
        <v>3690</v>
      </c>
      <c r="D754" s="1124">
        <v>281</v>
      </c>
      <c r="E754" s="1124">
        <v>1</v>
      </c>
      <c r="F754" s="292"/>
      <c r="G754" s="292"/>
      <c r="H754" s="1124">
        <v>0</v>
      </c>
      <c r="I754" s="1124">
        <v>281</v>
      </c>
    </row>
    <row r="755" spans="2:10" ht="15" customHeight="1">
      <c r="B755" s="593" t="s">
        <v>2104</v>
      </c>
      <c r="C755" s="599" t="s">
        <v>3973</v>
      </c>
      <c r="D755" s="1124">
        <v>257</v>
      </c>
      <c r="E755" s="1124">
        <v>1</v>
      </c>
      <c r="F755" s="1124"/>
      <c r="G755" s="1124"/>
      <c r="H755" s="1124">
        <v>0</v>
      </c>
      <c r="I755" s="1124">
        <v>399</v>
      </c>
      <c r="J755" s="362"/>
    </row>
    <row r="756" spans="2:10" ht="15" customHeight="1">
      <c r="B756" s="553" t="s">
        <v>2</v>
      </c>
      <c r="C756" s="595"/>
      <c r="D756" s="541">
        <f>SUM(D744:D755)</f>
        <v>1546</v>
      </c>
      <c r="E756" s="541">
        <f>SUM(E744:E755)</f>
        <v>33</v>
      </c>
      <c r="F756" s="541">
        <f>SUM(F744:F755)</f>
        <v>0</v>
      </c>
      <c r="G756" s="541">
        <f>SUM(G744:G755)</f>
        <v>0</v>
      </c>
      <c r="H756" s="436">
        <f>D756+F756</f>
        <v>1546</v>
      </c>
      <c r="I756" s="436">
        <f>E756+G756</f>
        <v>33</v>
      </c>
    </row>
    <row r="757" spans="2:10" ht="15" customHeight="1">
      <c r="B757" s="596"/>
      <c r="C757" s="597" t="s">
        <v>2992</v>
      </c>
      <c r="D757" s="440"/>
      <c r="E757" s="440"/>
      <c r="F757" s="440"/>
      <c r="G757" s="440"/>
      <c r="H757" s="440"/>
      <c r="I757" s="440"/>
    </row>
    <row r="758" spans="2:10" ht="15" customHeight="1">
      <c r="B758" s="598" t="s">
        <v>2993</v>
      </c>
      <c r="C758" s="594" t="s">
        <v>2994</v>
      </c>
      <c r="D758" s="1092">
        <v>164</v>
      </c>
      <c r="E758" s="1092">
        <v>100</v>
      </c>
      <c r="F758" s="1092"/>
      <c r="G758" s="1092"/>
      <c r="H758" s="592">
        <f t="shared" ref="H758:I766" si="38">D758+F758</f>
        <v>164</v>
      </c>
      <c r="I758" s="592">
        <f t="shared" si="38"/>
        <v>100</v>
      </c>
    </row>
    <row r="759" spans="2:10" ht="15" customHeight="1">
      <c r="B759" s="598" t="s">
        <v>2995</v>
      </c>
      <c r="C759" s="599" t="s">
        <v>2996</v>
      </c>
      <c r="D759" s="1124">
        <v>0</v>
      </c>
      <c r="E759" s="1124">
        <v>1</v>
      </c>
      <c r="F759" s="1124"/>
      <c r="G759" s="1124"/>
      <c r="H759" s="1123">
        <f t="shared" si="38"/>
        <v>0</v>
      </c>
      <c r="I759" s="1123">
        <f t="shared" si="38"/>
        <v>1</v>
      </c>
    </row>
    <row r="760" spans="2:10" ht="15" customHeight="1">
      <c r="B760" s="600">
        <v>260001</v>
      </c>
      <c r="C760" s="601" t="s">
        <v>2951</v>
      </c>
      <c r="D760" s="1092">
        <v>902</v>
      </c>
      <c r="E760" s="1092">
        <v>10</v>
      </c>
      <c r="F760" s="1092"/>
      <c r="G760" s="1092"/>
      <c r="H760" s="592">
        <f t="shared" si="38"/>
        <v>902</v>
      </c>
      <c r="I760" s="592">
        <f t="shared" si="38"/>
        <v>10</v>
      </c>
    </row>
    <row r="761" spans="2:10" ht="15" customHeight="1">
      <c r="B761" s="600">
        <v>260003</v>
      </c>
      <c r="C761" s="601" t="s">
        <v>2997</v>
      </c>
      <c r="D761" s="1092">
        <v>1</v>
      </c>
      <c r="E761" s="1092">
        <v>1</v>
      </c>
      <c r="F761" s="1092"/>
      <c r="G761" s="1092"/>
      <c r="H761" s="592">
        <f t="shared" si="38"/>
        <v>1</v>
      </c>
      <c r="I761" s="592">
        <f t="shared" si="38"/>
        <v>1</v>
      </c>
    </row>
    <row r="762" spans="2:10" ht="15" customHeight="1">
      <c r="B762" s="600">
        <v>260012</v>
      </c>
      <c r="C762" s="602" t="s">
        <v>2998</v>
      </c>
      <c r="D762" s="1092">
        <v>0</v>
      </c>
      <c r="E762" s="1092">
        <v>1</v>
      </c>
      <c r="F762" s="1092"/>
      <c r="G762" s="1092"/>
      <c r="H762" s="592">
        <f t="shared" si="38"/>
        <v>0</v>
      </c>
      <c r="I762" s="592">
        <f t="shared" si="38"/>
        <v>1</v>
      </c>
    </row>
    <row r="763" spans="2:10" ht="15" customHeight="1">
      <c r="B763" s="600">
        <v>260014</v>
      </c>
      <c r="C763" s="602" t="s">
        <v>2999</v>
      </c>
      <c r="D763" s="1092">
        <v>0</v>
      </c>
      <c r="E763" s="1092">
        <v>1</v>
      </c>
      <c r="F763" s="1092"/>
      <c r="G763" s="1092"/>
      <c r="H763" s="592">
        <f t="shared" si="38"/>
        <v>0</v>
      </c>
      <c r="I763" s="592">
        <f t="shared" si="38"/>
        <v>1</v>
      </c>
    </row>
    <row r="764" spans="2:10" ht="15" customHeight="1">
      <c r="B764" s="600">
        <v>260077</v>
      </c>
      <c r="C764" s="602" t="s">
        <v>3000</v>
      </c>
      <c r="D764" s="1092">
        <v>0</v>
      </c>
      <c r="E764" s="1092">
        <v>1</v>
      </c>
      <c r="F764" s="1092"/>
      <c r="G764" s="1092"/>
      <c r="H764" s="592">
        <f t="shared" si="38"/>
        <v>0</v>
      </c>
      <c r="I764" s="592">
        <f t="shared" si="38"/>
        <v>1</v>
      </c>
    </row>
    <row r="765" spans="2:10" ht="15" customHeight="1">
      <c r="B765" s="603">
        <v>8184901</v>
      </c>
      <c r="C765" s="604" t="s">
        <v>3001</v>
      </c>
      <c r="D765" s="1092">
        <v>8988</v>
      </c>
      <c r="E765" s="1092">
        <v>2500</v>
      </c>
      <c r="F765" s="1092"/>
      <c r="G765" s="1092"/>
      <c r="H765" s="420">
        <f t="shared" si="38"/>
        <v>8988</v>
      </c>
      <c r="I765" s="420">
        <f t="shared" si="38"/>
        <v>2500</v>
      </c>
    </row>
    <row r="766" spans="2:10" ht="15" customHeight="1">
      <c r="B766" s="553" t="s">
        <v>2</v>
      </c>
      <c r="C766" s="595"/>
      <c r="D766" s="541">
        <f>SUM(D758:D765)</f>
        <v>10055</v>
      </c>
      <c r="E766" s="541">
        <f>SUM(E758:E765)</f>
        <v>2615</v>
      </c>
      <c r="F766" s="541">
        <f>SUM(F758:F765)</f>
        <v>0</v>
      </c>
      <c r="G766" s="541">
        <f>SUM(G758:G765)</f>
        <v>0</v>
      </c>
      <c r="H766" s="436">
        <f t="shared" si="38"/>
        <v>10055</v>
      </c>
      <c r="I766" s="436">
        <f t="shared" si="38"/>
        <v>2615</v>
      </c>
    </row>
    <row r="767" spans="2:10" ht="15" customHeight="1">
      <c r="B767" s="519"/>
      <c r="C767" s="605" t="s">
        <v>55</v>
      </c>
      <c r="D767" s="521"/>
      <c r="E767" s="522"/>
      <c r="F767" s="522"/>
      <c r="G767" s="522"/>
      <c r="H767" s="523"/>
      <c r="I767" s="523"/>
    </row>
    <row r="768" spans="2:10" ht="15" customHeight="1">
      <c r="B768" s="438"/>
      <c r="C768" s="578" t="s">
        <v>3002</v>
      </c>
      <c r="D768" s="440"/>
      <c r="E768" s="440"/>
      <c r="F768" s="440"/>
      <c r="G768" s="440"/>
      <c r="H768" s="440"/>
      <c r="I768" s="440"/>
    </row>
    <row r="769" spans="2:10" ht="15" customHeight="1">
      <c r="B769" s="606" t="s">
        <v>3003</v>
      </c>
      <c r="C769" s="607" t="s">
        <v>3004</v>
      </c>
      <c r="D769" s="1124">
        <v>124</v>
      </c>
      <c r="E769" s="1124">
        <v>200</v>
      </c>
      <c r="F769" s="1124"/>
      <c r="G769" s="1124"/>
      <c r="H769" s="282">
        <f>D769+F769</f>
        <v>124</v>
      </c>
      <c r="I769" s="282">
        <f>E769+G769</f>
        <v>200</v>
      </c>
    </row>
    <row r="770" spans="2:10" ht="15" customHeight="1">
      <c r="B770" s="606" t="s">
        <v>3005</v>
      </c>
      <c r="C770" s="607" t="s">
        <v>3006</v>
      </c>
      <c r="D770" s="1124">
        <v>18</v>
      </c>
      <c r="E770" s="1124">
        <v>50</v>
      </c>
      <c r="F770" s="1124"/>
      <c r="G770" s="1124"/>
      <c r="H770" s="282">
        <f>D770+F770</f>
        <v>18</v>
      </c>
      <c r="I770" s="282">
        <f>E770+G770</f>
        <v>50</v>
      </c>
    </row>
    <row r="771" spans="2:10" ht="15" customHeight="1">
      <c r="B771" s="590" t="s">
        <v>3007</v>
      </c>
      <c r="C771" s="608" t="s">
        <v>2769</v>
      </c>
      <c r="D771" s="1124">
        <v>8011</v>
      </c>
      <c r="E771" s="1124">
        <v>4000</v>
      </c>
      <c r="F771" s="1124"/>
      <c r="G771" s="1124"/>
      <c r="H771" s="282">
        <f>D771+F771</f>
        <v>8011</v>
      </c>
      <c r="I771" s="282">
        <v>4000</v>
      </c>
    </row>
    <row r="772" spans="2:10" ht="15" customHeight="1">
      <c r="B772" s="590" t="s">
        <v>3008</v>
      </c>
      <c r="C772" s="608" t="s">
        <v>3009</v>
      </c>
      <c r="D772" s="1124">
        <v>46</v>
      </c>
      <c r="E772" s="1124">
        <v>200</v>
      </c>
      <c r="F772" s="1124"/>
      <c r="G772" s="1124"/>
      <c r="H772" s="282">
        <f>D772+F772</f>
        <v>46</v>
      </c>
      <c r="I772" s="282">
        <f>E772+G772</f>
        <v>200</v>
      </c>
    </row>
    <row r="773" spans="2:10" ht="15" customHeight="1">
      <c r="B773" s="509" t="s">
        <v>2</v>
      </c>
      <c r="C773" s="586"/>
      <c r="D773" s="423">
        <f>SUM(D769:D772)</f>
        <v>8199</v>
      </c>
      <c r="E773" s="423">
        <f>SUM(E769:E772)</f>
        <v>4450</v>
      </c>
      <c r="F773" s="423">
        <f>SUM(F769:F772)</f>
        <v>0</v>
      </c>
      <c r="G773" s="423">
        <f>SUM(G769:G772)</f>
        <v>0</v>
      </c>
      <c r="H773" s="424">
        <f>D773+F773</f>
        <v>8199</v>
      </c>
      <c r="I773" s="424">
        <f>E773+G773</f>
        <v>4450</v>
      </c>
    </row>
    <row r="774" spans="2:10" ht="15" customHeight="1">
      <c r="B774" s="596"/>
      <c r="C774" s="489" t="s">
        <v>3010</v>
      </c>
      <c r="D774" s="440"/>
      <c r="E774" s="440"/>
      <c r="F774" s="440"/>
      <c r="G774" s="440"/>
      <c r="H774" s="440"/>
      <c r="I774" s="440"/>
    </row>
    <row r="775" spans="2:10" ht="15" customHeight="1">
      <c r="B775" s="600">
        <v>260078</v>
      </c>
      <c r="C775" s="609" t="s">
        <v>3011</v>
      </c>
      <c r="D775" s="1124">
        <v>67</v>
      </c>
      <c r="E775" s="1124">
        <v>60</v>
      </c>
      <c r="F775" s="1124"/>
      <c r="G775" s="1124"/>
      <c r="H775" s="282">
        <f t="shared" ref="H775:I805" si="39">D775+F775</f>
        <v>67</v>
      </c>
      <c r="I775" s="282">
        <f t="shared" si="39"/>
        <v>60</v>
      </c>
    </row>
    <row r="776" spans="2:10" ht="15" customHeight="1">
      <c r="B776" s="590" t="s">
        <v>3012</v>
      </c>
      <c r="C776" s="610" t="s">
        <v>3013</v>
      </c>
      <c r="D776" s="1124">
        <v>2682</v>
      </c>
      <c r="E776" s="1124">
        <v>5500</v>
      </c>
      <c r="F776" s="1124"/>
      <c r="G776" s="1124"/>
      <c r="H776" s="282">
        <f t="shared" si="39"/>
        <v>2682</v>
      </c>
      <c r="I776" s="282">
        <f t="shared" si="39"/>
        <v>5500</v>
      </c>
    </row>
    <row r="777" spans="2:10" ht="15" customHeight="1">
      <c r="B777" s="611" t="s">
        <v>3014</v>
      </c>
      <c r="C777" s="611" t="s">
        <v>3015</v>
      </c>
      <c r="D777" s="1124">
        <v>2978</v>
      </c>
      <c r="E777" s="1124">
        <v>3000</v>
      </c>
      <c r="F777" s="1124"/>
      <c r="G777" s="1124"/>
      <c r="H777" s="282">
        <f t="shared" si="39"/>
        <v>2978</v>
      </c>
      <c r="I777" s="282">
        <f t="shared" si="39"/>
        <v>3000</v>
      </c>
    </row>
    <row r="778" spans="2:10" ht="15" customHeight="1">
      <c r="B778" s="611" t="s">
        <v>3016</v>
      </c>
      <c r="C778" s="612" t="s">
        <v>3017</v>
      </c>
      <c r="D778" s="1124">
        <v>348</v>
      </c>
      <c r="E778" s="1124">
        <v>400</v>
      </c>
      <c r="F778" s="1124"/>
      <c r="G778" s="1124"/>
      <c r="H778" s="282">
        <f t="shared" si="39"/>
        <v>348</v>
      </c>
      <c r="I778" s="282">
        <f t="shared" si="39"/>
        <v>400</v>
      </c>
    </row>
    <row r="779" spans="2:10" ht="15" customHeight="1">
      <c r="B779" s="613" t="s">
        <v>3018</v>
      </c>
      <c r="C779" s="614" t="s">
        <v>3019</v>
      </c>
      <c r="D779" s="1124"/>
      <c r="E779" s="1124"/>
      <c r="F779" s="1124">
        <v>45</v>
      </c>
      <c r="G779" s="1124">
        <v>50</v>
      </c>
      <c r="H779" s="282">
        <f t="shared" si="39"/>
        <v>45</v>
      </c>
      <c r="I779" s="282">
        <f t="shared" si="39"/>
        <v>50</v>
      </c>
    </row>
    <row r="780" spans="2:10" ht="15" customHeight="1">
      <c r="B780" s="611" t="s">
        <v>3020</v>
      </c>
      <c r="C780" s="611" t="s">
        <v>3021</v>
      </c>
      <c r="D780" s="1124">
        <v>6862</v>
      </c>
      <c r="E780" s="1124">
        <v>7000</v>
      </c>
      <c r="F780" s="1124"/>
      <c r="G780" s="1124"/>
      <c r="H780" s="282">
        <f t="shared" si="39"/>
        <v>6862</v>
      </c>
      <c r="I780" s="282">
        <f t="shared" si="39"/>
        <v>7000</v>
      </c>
    </row>
    <row r="781" spans="2:10" ht="15" customHeight="1">
      <c r="B781" s="611" t="s">
        <v>3022</v>
      </c>
      <c r="C781" s="611" t="s">
        <v>3023</v>
      </c>
      <c r="D781" s="1124">
        <v>0</v>
      </c>
      <c r="E781" s="1124">
        <v>5</v>
      </c>
      <c r="F781" s="1124"/>
      <c r="G781" s="1124"/>
      <c r="H781" s="282">
        <f t="shared" si="39"/>
        <v>0</v>
      </c>
      <c r="I781" s="282">
        <f t="shared" si="39"/>
        <v>5</v>
      </c>
    </row>
    <row r="782" spans="2:10" ht="15" customHeight="1">
      <c r="B782" s="611" t="s">
        <v>3024</v>
      </c>
      <c r="C782" s="611" t="s">
        <v>3025</v>
      </c>
      <c r="D782" s="1124">
        <v>0</v>
      </c>
      <c r="E782" s="1124">
        <v>5</v>
      </c>
      <c r="F782" s="1124"/>
      <c r="G782" s="1124"/>
      <c r="H782" s="282">
        <f t="shared" si="39"/>
        <v>0</v>
      </c>
      <c r="I782" s="282">
        <f t="shared" si="39"/>
        <v>5</v>
      </c>
    </row>
    <row r="783" spans="2:10" s="362" customFormat="1" ht="15" customHeight="1">
      <c r="B783" s="611" t="s">
        <v>2959</v>
      </c>
      <c r="C783" s="611" t="s">
        <v>2960</v>
      </c>
      <c r="D783" s="1124">
        <v>8463</v>
      </c>
      <c r="E783" s="1124">
        <v>6500</v>
      </c>
      <c r="F783" s="1124"/>
      <c r="G783" s="1124"/>
      <c r="H783" s="282">
        <f t="shared" si="39"/>
        <v>8463</v>
      </c>
      <c r="I783" s="282">
        <f t="shared" si="39"/>
        <v>6500</v>
      </c>
      <c r="J783"/>
    </row>
    <row r="784" spans="2:10" ht="15" customHeight="1">
      <c r="B784" s="615" t="s">
        <v>3026</v>
      </c>
      <c r="C784" s="466" t="s">
        <v>3027</v>
      </c>
      <c r="D784" s="184">
        <v>0</v>
      </c>
      <c r="E784" s="184">
        <v>1</v>
      </c>
      <c r="F784" s="184"/>
      <c r="G784" s="184"/>
      <c r="H784" s="1122">
        <f t="shared" si="39"/>
        <v>0</v>
      </c>
      <c r="I784" s="1122">
        <f t="shared" si="39"/>
        <v>1</v>
      </c>
    </row>
    <row r="785" spans="2:9" ht="15" customHeight="1">
      <c r="B785" s="615" t="s">
        <v>3028</v>
      </c>
      <c r="C785" s="466" t="s">
        <v>3029</v>
      </c>
      <c r="D785" s="184">
        <v>1303</v>
      </c>
      <c r="E785" s="184">
        <v>800</v>
      </c>
      <c r="F785" s="184"/>
      <c r="G785" s="184"/>
      <c r="H785" s="1122">
        <f t="shared" si="39"/>
        <v>1303</v>
      </c>
      <c r="I785" s="1122">
        <f t="shared" si="39"/>
        <v>800</v>
      </c>
    </row>
    <row r="786" spans="2:9" ht="15" customHeight="1">
      <c r="B786" s="615" t="s">
        <v>3030</v>
      </c>
      <c r="C786" s="466" t="s">
        <v>3031</v>
      </c>
      <c r="D786" s="184">
        <v>0</v>
      </c>
      <c r="E786" s="184">
        <v>1</v>
      </c>
      <c r="F786" s="184"/>
      <c r="G786" s="184"/>
      <c r="H786" s="1122">
        <f t="shared" si="39"/>
        <v>0</v>
      </c>
      <c r="I786" s="1122">
        <f t="shared" si="39"/>
        <v>1</v>
      </c>
    </row>
    <row r="787" spans="2:9" ht="15" customHeight="1">
      <c r="B787" s="615" t="s">
        <v>3032</v>
      </c>
      <c r="C787" s="466" t="s">
        <v>3033</v>
      </c>
      <c r="D787" s="184">
        <v>2081</v>
      </c>
      <c r="E787" s="184">
        <v>600</v>
      </c>
      <c r="F787" s="184"/>
      <c r="G787" s="184"/>
      <c r="H787" s="1122">
        <f t="shared" si="39"/>
        <v>2081</v>
      </c>
      <c r="I787" s="1122">
        <f t="shared" si="39"/>
        <v>600</v>
      </c>
    </row>
    <row r="788" spans="2:9" ht="15" customHeight="1">
      <c r="B788" s="615" t="s">
        <v>3034</v>
      </c>
      <c r="C788" s="466" t="s">
        <v>3035</v>
      </c>
      <c r="D788" s="184">
        <v>2119</v>
      </c>
      <c r="E788" s="184">
        <v>3500</v>
      </c>
      <c r="F788" s="184"/>
      <c r="G788" s="184"/>
      <c r="H788" s="1122">
        <f t="shared" si="39"/>
        <v>2119</v>
      </c>
      <c r="I788" s="1122">
        <f t="shared" si="39"/>
        <v>3500</v>
      </c>
    </row>
    <row r="789" spans="2:9" ht="15" customHeight="1">
      <c r="B789" s="615" t="s">
        <v>3036</v>
      </c>
      <c r="C789" s="466" t="s">
        <v>3037</v>
      </c>
      <c r="D789" s="184">
        <v>2471</v>
      </c>
      <c r="E789" s="184">
        <v>3500</v>
      </c>
      <c r="F789" s="184"/>
      <c r="G789" s="184"/>
      <c r="H789" s="1122">
        <f t="shared" si="39"/>
        <v>2471</v>
      </c>
      <c r="I789" s="1122">
        <f t="shared" si="39"/>
        <v>3500</v>
      </c>
    </row>
    <row r="790" spans="2:9" ht="15" customHeight="1">
      <c r="B790" s="615" t="s">
        <v>3038</v>
      </c>
      <c r="C790" s="466" t="s">
        <v>3039</v>
      </c>
      <c r="D790" s="184">
        <v>2467</v>
      </c>
      <c r="E790" s="184">
        <v>3500</v>
      </c>
      <c r="F790" s="184"/>
      <c r="G790" s="184"/>
      <c r="H790" s="1122">
        <f t="shared" si="39"/>
        <v>2467</v>
      </c>
      <c r="I790" s="1122">
        <f t="shared" si="39"/>
        <v>3500</v>
      </c>
    </row>
    <row r="791" spans="2:9" ht="15" customHeight="1">
      <c r="B791" s="615" t="s">
        <v>3040</v>
      </c>
      <c r="C791" s="466" t="s">
        <v>3041</v>
      </c>
      <c r="D791" s="184">
        <v>2467</v>
      </c>
      <c r="E791" s="184">
        <v>3500</v>
      </c>
      <c r="F791" s="184"/>
      <c r="G791" s="184"/>
      <c r="H791" s="1122">
        <f t="shared" si="39"/>
        <v>2467</v>
      </c>
      <c r="I791" s="1122">
        <f t="shared" si="39"/>
        <v>3500</v>
      </c>
    </row>
    <row r="792" spans="2:9" ht="15" customHeight="1">
      <c r="B792" s="615" t="s">
        <v>3042</v>
      </c>
      <c r="C792" s="466" t="s">
        <v>3043</v>
      </c>
      <c r="D792" s="184">
        <v>0</v>
      </c>
      <c r="E792" s="184">
        <v>10</v>
      </c>
      <c r="F792" s="184"/>
      <c r="G792" s="184"/>
      <c r="H792" s="1122">
        <f t="shared" si="39"/>
        <v>0</v>
      </c>
      <c r="I792" s="1122">
        <f t="shared" si="39"/>
        <v>10</v>
      </c>
    </row>
    <row r="793" spans="2:9" ht="15" customHeight="1">
      <c r="B793" s="615" t="s">
        <v>3044</v>
      </c>
      <c r="C793" s="466" t="s">
        <v>3045</v>
      </c>
      <c r="D793" s="184">
        <v>5490</v>
      </c>
      <c r="E793" s="184">
        <v>2500</v>
      </c>
      <c r="F793" s="184"/>
      <c r="G793" s="184"/>
      <c r="H793" s="1122">
        <f t="shared" si="39"/>
        <v>5490</v>
      </c>
      <c r="I793" s="1122">
        <f t="shared" si="39"/>
        <v>2500</v>
      </c>
    </row>
    <row r="794" spans="2:9" ht="15" customHeight="1">
      <c r="B794" s="615" t="s">
        <v>3046</v>
      </c>
      <c r="C794" s="466" t="s">
        <v>3047</v>
      </c>
      <c r="D794" s="184">
        <v>0</v>
      </c>
      <c r="E794" s="184">
        <v>1</v>
      </c>
      <c r="F794" s="184"/>
      <c r="G794" s="184"/>
      <c r="H794" s="1122">
        <f t="shared" si="39"/>
        <v>0</v>
      </c>
      <c r="I794" s="1122">
        <f t="shared" si="39"/>
        <v>1</v>
      </c>
    </row>
    <row r="795" spans="2:9" ht="15" customHeight="1">
      <c r="B795" s="615" t="s">
        <v>3048</v>
      </c>
      <c r="C795" s="466" t="s">
        <v>3049</v>
      </c>
      <c r="D795" s="184">
        <v>7195</v>
      </c>
      <c r="E795" s="184">
        <v>5500</v>
      </c>
      <c r="F795" s="184"/>
      <c r="G795" s="184"/>
      <c r="H795" s="1122">
        <f t="shared" si="39"/>
        <v>7195</v>
      </c>
      <c r="I795" s="1122">
        <f t="shared" si="39"/>
        <v>5500</v>
      </c>
    </row>
    <row r="796" spans="2:9" ht="15" customHeight="1">
      <c r="B796" s="615" t="s">
        <v>3050</v>
      </c>
      <c r="C796" s="466" t="s">
        <v>3051</v>
      </c>
      <c r="D796" s="184">
        <v>7195</v>
      </c>
      <c r="E796" s="184">
        <v>5500</v>
      </c>
      <c r="F796" s="184"/>
      <c r="G796" s="184"/>
      <c r="H796" s="1122">
        <f t="shared" si="39"/>
        <v>7195</v>
      </c>
      <c r="I796" s="1122">
        <f t="shared" si="39"/>
        <v>5500</v>
      </c>
    </row>
    <row r="797" spans="2:9" ht="15" customHeight="1">
      <c r="B797" s="615" t="s">
        <v>3052</v>
      </c>
      <c r="C797" s="466" t="s">
        <v>3053</v>
      </c>
      <c r="D797" s="184">
        <v>7195</v>
      </c>
      <c r="E797" s="184">
        <v>5000</v>
      </c>
      <c r="F797" s="184"/>
      <c r="G797" s="184"/>
      <c r="H797" s="1122">
        <f t="shared" si="39"/>
        <v>7195</v>
      </c>
      <c r="I797" s="1122">
        <f t="shared" si="39"/>
        <v>5000</v>
      </c>
    </row>
    <row r="798" spans="2:9" ht="15" customHeight="1">
      <c r="B798" s="616" t="s">
        <v>3054</v>
      </c>
      <c r="C798" s="617" t="s">
        <v>3055</v>
      </c>
      <c r="D798" s="184">
        <v>7195</v>
      </c>
      <c r="E798" s="184">
        <v>5000</v>
      </c>
      <c r="F798" s="184"/>
      <c r="G798" s="184"/>
      <c r="H798" s="1122">
        <f t="shared" si="39"/>
        <v>7195</v>
      </c>
      <c r="I798" s="1122">
        <f t="shared" si="39"/>
        <v>5000</v>
      </c>
    </row>
    <row r="799" spans="2:9" ht="15" customHeight="1">
      <c r="B799" s="616" t="s">
        <v>3056</v>
      </c>
      <c r="C799" s="617" t="s">
        <v>3057</v>
      </c>
      <c r="D799" s="184">
        <v>7196</v>
      </c>
      <c r="E799" s="184">
        <v>5000</v>
      </c>
      <c r="F799" s="184"/>
      <c r="G799" s="184"/>
      <c r="H799" s="1122">
        <f t="shared" si="39"/>
        <v>7196</v>
      </c>
      <c r="I799" s="1122">
        <f t="shared" si="39"/>
        <v>5000</v>
      </c>
    </row>
    <row r="800" spans="2:9" ht="15" customHeight="1">
      <c r="B800" s="616" t="s">
        <v>3058</v>
      </c>
      <c r="C800" s="617" t="s">
        <v>3059</v>
      </c>
      <c r="D800" s="184">
        <v>4379</v>
      </c>
      <c r="E800" s="184">
        <v>4500</v>
      </c>
      <c r="F800" s="184"/>
      <c r="G800" s="184"/>
      <c r="H800" s="1122">
        <f t="shared" si="39"/>
        <v>4379</v>
      </c>
      <c r="I800" s="1122">
        <f t="shared" si="39"/>
        <v>4500</v>
      </c>
    </row>
    <row r="801" spans="2:9" ht="15" customHeight="1">
      <c r="B801" s="616" t="s">
        <v>3060</v>
      </c>
      <c r="C801" s="617" t="s">
        <v>3061</v>
      </c>
      <c r="D801" s="184">
        <v>7189</v>
      </c>
      <c r="E801" s="184">
        <v>4000</v>
      </c>
      <c r="F801" s="184"/>
      <c r="G801" s="184"/>
      <c r="H801" s="1122">
        <f t="shared" si="39"/>
        <v>7189</v>
      </c>
      <c r="I801" s="1122">
        <f t="shared" si="39"/>
        <v>4000</v>
      </c>
    </row>
    <row r="802" spans="2:9" ht="15" customHeight="1">
      <c r="B802" s="616" t="s">
        <v>3062</v>
      </c>
      <c r="C802" s="617" t="s">
        <v>3063</v>
      </c>
      <c r="D802" s="184">
        <v>7188</v>
      </c>
      <c r="E802" s="184">
        <v>4000</v>
      </c>
      <c r="F802" s="184"/>
      <c r="G802" s="184"/>
      <c r="H802" s="1122">
        <f t="shared" si="39"/>
        <v>7188</v>
      </c>
      <c r="I802" s="1122">
        <f t="shared" si="39"/>
        <v>4000</v>
      </c>
    </row>
    <row r="803" spans="2:9" ht="15" customHeight="1">
      <c r="B803" s="616" t="s">
        <v>3064</v>
      </c>
      <c r="C803" s="617" t="s">
        <v>3065</v>
      </c>
      <c r="D803" s="184">
        <v>2243</v>
      </c>
      <c r="E803" s="184">
        <v>2500</v>
      </c>
      <c r="F803" s="184"/>
      <c r="G803" s="184"/>
      <c r="H803" s="1122">
        <f t="shared" si="39"/>
        <v>2243</v>
      </c>
      <c r="I803" s="1122">
        <f t="shared" si="39"/>
        <v>2500</v>
      </c>
    </row>
    <row r="804" spans="2:9" ht="15" customHeight="1">
      <c r="B804" s="616" t="s">
        <v>3066</v>
      </c>
      <c r="C804" s="617" t="s">
        <v>3067</v>
      </c>
      <c r="D804" s="184">
        <v>2187</v>
      </c>
      <c r="E804" s="184">
        <v>2500</v>
      </c>
      <c r="F804" s="184"/>
      <c r="G804" s="184"/>
      <c r="H804" s="1122">
        <f t="shared" si="39"/>
        <v>2187</v>
      </c>
      <c r="I804" s="1122">
        <f t="shared" si="39"/>
        <v>2500</v>
      </c>
    </row>
    <row r="805" spans="2:9" ht="15" customHeight="1">
      <c r="B805" s="553" t="s">
        <v>2</v>
      </c>
      <c r="C805" s="576"/>
      <c r="D805" s="541">
        <f>SUM(D775:D804)</f>
        <v>98960</v>
      </c>
      <c r="E805" s="541">
        <f>SUM(E775:E804)</f>
        <v>83883</v>
      </c>
      <c r="F805" s="541">
        <f>SUM(F775:F804)</f>
        <v>45</v>
      </c>
      <c r="G805" s="541">
        <f>SUM(G775:G804)</f>
        <v>50</v>
      </c>
      <c r="H805" s="436">
        <f t="shared" si="39"/>
        <v>99005</v>
      </c>
      <c r="I805" s="436">
        <f t="shared" si="39"/>
        <v>83933</v>
      </c>
    </row>
    <row r="806" spans="2:9" ht="15" customHeight="1">
      <c r="B806" s="519"/>
      <c r="C806" s="618" t="s">
        <v>55</v>
      </c>
      <c r="D806" s="521"/>
      <c r="E806" s="522"/>
      <c r="F806" s="522"/>
      <c r="G806" s="522"/>
      <c r="H806" s="516"/>
      <c r="I806" s="516"/>
    </row>
    <row r="807" spans="2:9" ht="15" customHeight="1">
      <c r="B807" s="587"/>
      <c r="C807" s="578" t="s">
        <v>3068</v>
      </c>
      <c r="D807" s="440"/>
      <c r="E807" s="440"/>
      <c r="F807" s="440"/>
      <c r="G807" s="440"/>
      <c r="H807" s="440"/>
      <c r="I807" s="440"/>
    </row>
    <row r="808" spans="2:9" ht="15" customHeight="1">
      <c r="B808" s="619" t="s">
        <v>2054</v>
      </c>
      <c r="C808" s="620" t="s">
        <v>2055</v>
      </c>
      <c r="D808" s="1124">
        <v>169</v>
      </c>
      <c r="E808" s="1124">
        <v>150</v>
      </c>
      <c r="F808" s="1124"/>
      <c r="G808" s="1124"/>
      <c r="H808" s="282">
        <f t="shared" ref="H808:I823" si="40">D808+F808</f>
        <v>169</v>
      </c>
      <c r="I808" s="282">
        <f t="shared" si="40"/>
        <v>150</v>
      </c>
    </row>
    <row r="809" spans="2:9" ht="15" customHeight="1">
      <c r="B809" s="406" t="s">
        <v>3069</v>
      </c>
      <c r="C809" s="406" t="s">
        <v>3070</v>
      </c>
      <c r="D809" s="1124">
        <v>6</v>
      </c>
      <c r="E809" s="1124">
        <v>1</v>
      </c>
      <c r="F809" s="1124"/>
      <c r="G809" s="1124"/>
      <c r="H809" s="282">
        <f t="shared" si="40"/>
        <v>6</v>
      </c>
      <c r="I809" s="282">
        <f t="shared" si="40"/>
        <v>1</v>
      </c>
    </row>
    <row r="810" spans="2:9" ht="15" customHeight="1">
      <c r="B810" s="406" t="s">
        <v>3071</v>
      </c>
      <c r="C810" s="406" t="s">
        <v>3072</v>
      </c>
      <c r="D810" s="1124">
        <v>0</v>
      </c>
      <c r="E810" s="1124">
        <v>1</v>
      </c>
      <c r="F810" s="1124"/>
      <c r="G810" s="1124"/>
      <c r="H810" s="282">
        <f t="shared" si="40"/>
        <v>0</v>
      </c>
      <c r="I810" s="282">
        <f t="shared" si="40"/>
        <v>1</v>
      </c>
    </row>
    <row r="811" spans="2:9" ht="15" customHeight="1">
      <c r="B811" s="535" t="s">
        <v>3073</v>
      </c>
      <c r="C811" s="535" t="s">
        <v>3074</v>
      </c>
      <c r="D811" s="1124">
        <v>6</v>
      </c>
      <c r="E811" s="1124">
        <v>5</v>
      </c>
      <c r="F811" s="1124"/>
      <c r="G811" s="1124"/>
      <c r="H811" s="282">
        <f t="shared" si="40"/>
        <v>6</v>
      </c>
      <c r="I811" s="282">
        <f t="shared" si="40"/>
        <v>5</v>
      </c>
    </row>
    <row r="812" spans="2:9" ht="15" customHeight="1">
      <c r="B812" s="535" t="s">
        <v>3075</v>
      </c>
      <c r="C812" s="535" t="s">
        <v>3076</v>
      </c>
      <c r="D812" s="1124">
        <v>499</v>
      </c>
      <c r="E812" s="1124">
        <v>500</v>
      </c>
      <c r="F812" s="1124"/>
      <c r="G812" s="1124"/>
      <c r="H812" s="282">
        <f t="shared" si="40"/>
        <v>499</v>
      </c>
      <c r="I812" s="282">
        <f t="shared" si="40"/>
        <v>500</v>
      </c>
    </row>
    <row r="813" spans="2:9" ht="15" customHeight="1">
      <c r="B813" s="535" t="s">
        <v>3077</v>
      </c>
      <c r="C813" s="535" t="s">
        <v>3078</v>
      </c>
      <c r="D813" s="1124">
        <v>682</v>
      </c>
      <c r="E813" s="1124">
        <v>550</v>
      </c>
      <c r="F813" s="1124"/>
      <c r="G813" s="1124"/>
      <c r="H813" s="282">
        <f t="shared" si="40"/>
        <v>682</v>
      </c>
      <c r="I813" s="282">
        <f t="shared" si="40"/>
        <v>550</v>
      </c>
    </row>
    <row r="814" spans="2:9" ht="15" customHeight="1">
      <c r="B814" s="535" t="s">
        <v>3079</v>
      </c>
      <c r="C814" s="535" t="s">
        <v>3080</v>
      </c>
      <c r="D814" s="1124">
        <v>5656</v>
      </c>
      <c r="E814" s="1124">
        <v>3000</v>
      </c>
      <c r="F814" s="1124"/>
      <c r="G814" s="1124"/>
      <c r="H814" s="282">
        <f t="shared" si="40"/>
        <v>5656</v>
      </c>
      <c r="I814" s="282">
        <f t="shared" si="40"/>
        <v>3000</v>
      </c>
    </row>
    <row r="815" spans="2:9" ht="15" customHeight="1">
      <c r="B815" s="406" t="s">
        <v>3081</v>
      </c>
      <c r="C815" s="406" t="s">
        <v>3082</v>
      </c>
      <c r="D815" s="1124">
        <v>5304</v>
      </c>
      <c r="E815" s="1124">
        <v>3000</v>
      </c>
      <c r="F815" s="1124"/>
      <c r="G815" s="1124"/>
      <c r="H815" s="282">
        <f t="shared" si="40"/>
        <v>5304</v>
      </c>
      <c r="I815" s="282">
        <f t="shared" si="40"/>
        <v>3000</v>
      </c>
    </row>
    <row r="816" spans="2:9" ht="15" customHeight="1">
      <c r="B816" s="406" t="s">
        <v>2314</v>
      </c>
      <c r="C816" s="406" t="s">
        <v>3083</v>
      </c>
      <c r="D816" s="1124">
        <v>10</v>
      </c>
      <c r="E816" s="1124">
        <v>10</v>
      </c>
      <c r="F816" s="1124"/>
      <c r="G816" s="1124"/>
      <c r="H816" s="282">
        <f t="shared" si="40"/>
        <v>10</v>
      </c>
      <c r="I816" s="282">
        <f t="shared" si="40"/>
        <v>10</v>
      </c>
    </row>
    <row r="817" spans="2:10" ht="15" customHeight="1">
      <c r="B817" s="621" t="s">
        <v>3084</v>
      </c>
      <c r="C817" s="621" t="s">
        <v>3085</v>
      </c>
      <c r="D817" s="1124">
        <v>5676</v>
      </c>
      <c r="E817" s="1124">
        <v>3000</v>
      </c>
      <c r="F817" s="1124"/>
      <c r="G817" s="1124"/>
      <c r="H817" s="282">
        <f t="shared" si="40"/>
        <v>5676</v>
      </c>
      <c r="I817" s="282">
        <f t="shared" si="40"/>
        <v>3000</v>
      </c>
    </row>
    <row r="818" spans="2:10" ht="15" customHeight="1">
      <c r="B818" s="406" t="s">
        <v>3086</v>
      </c>
      <c r="C818" s="406" t="s">
        <v>3087</v>
      </c>
      <c r="D818" s="1124">
        <v>44</v>
      </c>
      <c r="E818" s="1124">
        <v>30</v>
      </c>
      <c r="F818" s="1124"/>
      <c r="G818" s="1124"/>
      <c r="H818" s="282">
        <f t="shared" si="40"/>
        <v>44</v>
      </c>
      <c r="I818" s="282">
        <f t="shared" si="40"/>
        <v>30</v>
      </c>
    </row>
    <row r="819" spans="2:10" ht="15" customHeight="1">
      <c r="B819" s="406" t="s">
        <v>3088</v>
      </c>
      <c r="C819" s="406" t="s">
        <v>3089</v>
      </c>
      <c r="D819" s="1124">
        <v>2</v>
      </c>
      <c r="E819" s="1124">
        <v>1</v>
      </c>
      <c r="F819" s="1124"/>
      <c r="G819" s="1124"/>
      <c r="H819" s="282">
        <f t="shared" si="40"/>
        <v>2</v>
      </c>
      <c r="I819" s="282">
        <f t="shared" si="40"/>
        <v>1</v>
      </c>
    </row>
    <row r="820" spans="2:10" ht="15" customHeight="1">
      <c r="B820" s="406" t="s">
        <v>3090</v>
      </c>
      <c r="C820" s="406" t="s">
        <v>3091</v>
      </c>
      <c r="D820" s="1124">
        <v>9</v>
      </c>
      <c r="E820" s="1124">
        <v>10</v>
      </c>
      <c r="F820" s="1124"/>
      <c r="G820" s="1124"/>
      <c r="H820" s="282">
        <f t="shared" si="40"/>
        <v>9</v>
      </c>
      <c r="I820" s="282">
        <f t="shared" si="40"/>
        <v>10</v>
      </c>
    </row>
    <row r="821" spans="2:10" ht="15" customHeight="1">
      <c r="B821" s="406" t="s">
        <v>3092</v>
      </c>
      <c r="C821" s="406" t="s">
        <v>3093</v>
      </c>
      <c r="D821" s="1124">
        <v>291</v>
      </c>
      <c r="E821" s="1124">
        <v>150</v>
      </c>
      <c r="F821" s="1124"/>
      <c r="G821" s="1124"/>
      <c r="H821" s="282">
        <f t="shared" si="40"/>
        <v>291</v>
      </c>
      <c r="I821" s="282">
        <f t="shared" si="40"/>
        <v>150</v>
      </c>
    </row>
    <row r="822" spans="2:10" ht="15" customHeight="1">
      <c r="B822" s="616" t="s">
        <v>3094</v>
      </c>
      <c r="C822" s="622" t="s">
        <v>3095</v>
      </c>
      <c r="D822" s="468">
        <v>0</v>
      </c>
      <c r="E822" s="468">
        <v>1</v>
      </c>
      <c r="F822" s="468"/>
      <c r="G822" s="468"/>
      <c r="H822" s="469">
        <f t="shared" si="40"/>
        <v>0</v>
      </c>
      <c r="I822" s="469">
        <f t="shared" si="40"/>
        <v>1</v>
      </c>
    </row>
    <row r="823" spans="2:10" ht="12.75" customHeight="1">
      <c r="B823" s="509" t="s">
        <v>2</v>
      </c>
      <c r="C823" s="445"/>
      <c r="D823" s="423">
        <f>SUM(D808:D822)</f>
        <v>18354</v>
      </c>
      <c r="E823" s="423">
        <f>SUM(E808:E822)</f>
        <v>10409</v>
      </c>
      <c r="F823" s="423">
        <f>SUM(F808:F822)</f>
        <v>0</v>
      </c>
      <c r="G823" s="423">
        <f>SUM(G808:G822)</f>
        <v>0</v>
      </c>
      <c r="H823" s="424">
        <f t="shared" si="40"/>
        <v>18354</v>
      </c>
      <c r="I823" s="424">
        <f t="shared" si="40"/>
        <v>10409</v>
      </c>
    </row>
    <row r="824" spans="2:10" ht="15" customHeight="1">
      <c r="B824" s="532"/>
      <c r="C824" s="489" t="s">
        <v>3096</v>
      </c>
      <c r="D824" s="440"/>
      <c r="E824" s="440"/>
      <c r="F824" s="440"/>
      <c r="G824" s="440"/>
      <c r="H824" s="440"/>
      <c r="I824" s="440"/>
    </row>
    <row r="825" spans="2:10" ht="15" customHeight="1">
      <c r="B825" s="590" t="s">
        <v>3097</v>
      </c>
      <c r="C825" s="623" t="s">
        <v>3098</v>
      </c>
      <c r="D825" s="1124">
        <v>582</v>
      </c>
      <c r="E825" s="1124">
        <v>550</v>
      </c>
      <c r="F825" s="1124"/>
      <c r="G825" s="1124"/>
      <c r="H825" s="282">
        <f t="shared" ref="H825:I829" si="41">D825+F825</f>
        <v>582</v>
      </c>
      <c r="I825" s="282">
        <f t="shared" si="41"/>
        <v>550</v>
      </c>
    </row>
    <row r="826" spans="2:10" ht="15" customHeight="1">
      <c r="B826" s="600">
        <v>260078</v>
      </c>
      <c r="C826" s="624" t="s">
        <v>3011</v>
      </c>
      <c r="D826" s="1124">
        <v>229</v>
      </c>
      <c r="E826" s="1124">
        <v>150</v>
      </c>
      <c r="F826" s="1124"/>
      <c r="G826" s="1124"/>
      <c r="H826" s="282">
        <f t="shared" si="41"/>
        <v>229</v>
      </c>
      <c r="I826" s="282">
        <f t="shared" si="41"/>
        <v>150</v>
      </c>
    </row>
    <row r="827" spans="2:10" ht="15" customHeight="1">
      <c r="B827" s="625" t="s">
        <v>3099</v>
      </c>
      <c r="C827" s="626" t="s">
        <v>3100</v>
      </c>
      <c r="D827" s="1124">
        <v>4345</v>
      </c>
      <c r="E827" s="1124">
        <v>2000</v>
      </c>
      <c r="F827" s="1124"/>
      <c r="G827" s="1124"/>
      <c r="H827" s="282">
        <f t="shared" si="41"/>
        <v>4345</v>
      </c>
      <c r="I827" s="282">
        <f t="shared" si="41"/>
        <v>2000</v>
      </c>
    </row>
    <row r="828" spans="2:10" ht="15.75" customHeight="1">
      <c r="B828" s="590" t="s">
        <v>3101</v>
      </c>
      <c r="C828" s="627" t="s">
        <v>3102</v>
      </c>
      <c r="D828" s="1124">
        <v>560</v>
      </c>
      <c r="E828" s="1124">
        <v>400</v>
      </c>
      <c r="F828" s="1124"/>
      <c r="G828" s="1124"/>
      <c r="H828" s="282">
        <f t="shared" si="41"/>
        <v>560</v>
      </c>
      <c r="I828" s="282">
        <f t="shared" si="41"/>
        <v>400</v>
      </c>
    </row>
    <row r="829" spans="2:10" ht="15" customHeight="1">
      <c r="B829" s="619" t="s">
        <v>3018</v>
      </c>
      <c r="C829" s="594" t="s">
        <v>3019</v>
      </c>
      <c r="D829" s="1124"/>
      <c r="E829" s="1124"/>
      <c r="F829" s="1124">
        <v>104</v>
      </c>
      <c r="G829" s="1124">
        <v>100</v>
      </c>
      <c r="H829" s="282">
        <f t="shared" si="41"/>
        <v>104</v>
      </c>
      <c r="I829" s="282">
        <f t="shared" si="41"/>
        <v>100</v>
      </c>
    </row>
    <row r="830" spans="2:10" ht="15" customHeight="1">
      <c r="B830" s="615" t="s">
        <v>3103</v>
      </c>
      <c r="C830" s="466" t="s">
        <v>3104</v>
      </c>
      <c r="D830" s="468">
        <v>6</v>
      </c>
      <c r="E830" s="468">
        <v>5</v>
      </c>
      <c r="F830" s="468"/>
      <c r="G830" s="468"/>
      <c r="H830" s="469">
        <f>D830+F830</f>
        <v>6</v>
      </c>
      <c r="I830" s="469">
        <f>E830+G830</f>
        <v>5</v>
      </c>
    </row>
    <row r="831" spans="2:10" ht="15" customHeight="1">
      <c r="B831" s="509" t="s">
        <v>2</v>
      </c>
      <c r="C831" s="445"/>
      <c r="D831" s="423">
        <f>SUM(D825:D830)</f>
        <v>5722</v>
      </c>
      <c r="E831" s="423">
        <f>SUM(E825:E830)</f>
        <v>3105</v>
      </c>
      <c r="F831" s="423">
        <f>SUM(F825:F830)</f>
        <v>104</v>
      </c>
      <c r="G831" s="423">
        <f>SUM(G825:G830)</f>
        <v>100</v>
      </c>
      <c r="H831" s="424">
        <f>D831+F831</f>
        <v>5826</v>
      </c>
      <c r="I831" s="424">
        <f>E831+G831</f>
        <v>3205</v>
      </c>
    </row>
    <row r="832" spans="2:10" s="362" customFormat="1" ht="15" customHeight="1">
      <c r="B832" s="519"/>
      <c r="C832" s="605" t="s">
        <v>55</v>
      </c>
      <c r="D832" s="521"/>
      <c r="E832" s="522"/>
      <c r="F832" s="522"/>
      <c r="G832" s="522"/>
      <c r="H832" s="523"/>
      <c r="I832" s="523"/>
      <c r="J832"/>
    </row>
    <row r="833" spans="2:9" ht="15" customHeight="1">
      <c r="B833" s="438"/>
      <c r="C833" s="578" t="s">
        <v>3105</v>
      </c>
      <c r="D833" s="440"/>
      <c r="E833" s="440"/>
      <c r="F833" s="440"/>
      <c r="G833" s="440"/>
      <c r="H833" s="440"/>
      <c r="I833" s="440"/>
    </row>
    <row r="834" spans="2:9" ht="15" customHeight="1">
      <c r="B834" s="449">
        <v>260076</v>
      </c>
      <c r="C834" s="628" t="s">
        <v>3106</v>
      </c>
      <c r="D834" s="1124">
        <v>109</v>
      </c>
      <c r="E834" s="1124">
        <v>100</v>
      </c>
      <c r="F834" s="1124"/>
      <c r="G834" s="1124"/>
      <c r="H834" s="282">
        <f t="shared" ref="H834:I860" si="42">D834+F834</f>
        <v>109</v>
      </c>
      <c r="I834" s="282">
        <f t="shared" si="42"/>
        <v>100</v>
      </c>
    </row>
    <row r="835" spans="2:9" ht="15" customHeight="1">
      <c r="B835" s="620" t="s">
        <v>2634</v>
      </c>
      <c r="C835" s="629" t="s">
        <v>3107</v>
      </c>
      <c r="D835" s="1124">
        <v>5</v>
      </c>
      <c r="E835" s="1124">
        <v>10</v>
      </c>
      <c r="F835" s="1124"/>
      <c r="G835" s="1124"/>
      <c r="H835" s="282">
        <f t="shared" si="42"/>
        <v>5</v>
      </c>
      <c r="I835" s="282">
        <f t="shared" si="42"/>
        <v>10</v>
      </c>
    </row>
    <row r="836" spans="2:9" ht="15" customHeight="1">
      <c r="B836" s="619" t="s">
        <v>2054</v>
      </c>
      <c r="C836" s="630" t="s">
        <v>2055</v>
      </c>
      <c r="D836" s="1124">
        <v>327</v>
      </c>
      <c r="E836" s="1124">
        <v>300</v>
      </c>
      <c r="F836" s="1124"/>
      <c r="G836" s="1124"/>
      <c r="H836" s="282">
        <f t="shared" si="42"/>
        <v>327</v>
      </c>
      <c r="I836" s="282">
        <f t="shared" si="42"/>
        <v>300</v>
      </c>
    </row>
    <row r="837" spans="2:9" ht="15" customHeight="1">
      <c r="B837" s="620" t="s">
        <v>2281</v>
      </c>
      <c r="C837" s="629" t="s">
        <v>2282</v>
      </c>
      <c r="D837" s="1124">
        <v>2</v>
      </c>
      <c r="E837" s="1124">
        <v>5</v>
      </c>
      <c r="F837" s="1124"/>
      <c r="G837" s="1124"/>
      <c r="H837" s="282">
        <f t="shared" si="42"/>
        <v>2</v>
      </c>
      <c r="I837" s="282">
        <f t="shared" si="42"/>
        <v>5</v>
      </c>
    </row>
    <row r="838" spans="2:9" ht="15" customHeight="1">
      <c r="B838" s="620" t="s">
        <v>3108</v>
      </c>
      <c r="C838" s="629" t="s">
        <v>3109</v>
      </c>
      <c r="D838" s="1124">
        <v>184</v>
      </c>
      <c r="E838" s="1124">
        <v>150</v>
      </c>
      <c r="F838" s="1124"/>
      <c r="G838" s="1124"/>
      <c r="H838" s="282">
        <f t="shared" si="42"/>
        <v>184</v>
      </c>
      <c r="I838" s="282">
        <f t="shared" si="42"/>
        <v>150</v>
      </c>
    </row>
    <row r="839" spans="2:9" ht="15" customHeight="1">
      <c r="B839" s="620" t="s">
        <v>3110</v>
      </c>
      <c r="C839" s="629" t="s">
        <v>3111</v>
      </c>
      <c r="D839" s="1124">
        <v>699</v>
      </c>
      <c r="E839" s="1124">
        <v>150</v>
      </c>
      <c r="F839" s="1124"/>
      <c r="G839" s="1124"/>
      <c r="H839" s="282">
        <f t="shared" si="42"/>
        <v>699</v>
      </c>
      <c r="I839" s="282">
        <f t="shared" si="42"/>
        <v>150</v>
      </c>
    </row>
    <row r="840" spans="2:9" ht="15" customHeight="1">
      <c r="B840" s="620" t="s">
        <v>2023</v>
      </c>
      <c r="C840" s="629" t="s">
        <v>3112</v>
      </c>
      <c r="D840" s="1124">
        <v>262</v>
      </c>
      <c r="E840" s="1124">
        <v>200</v>
      </c>
      <c r="F840" s="1124"/>
      <c r="G840" s="1124"/>
      <c r="H840" s="282">
        <f t="shared" si="42"/>
        <v>262</v>
      </c>
      <c r="I840" s="282">
        <f t="shared" si="42"/>
        <v>200</v>
      </c>
    </row>
    <row r="841" spans="2:9" ht="15" customHeight="1">
      <c r="B841" s="620" t="s">
        <v>2286</v>
      </c>
      <c r="C841" s="629" t="s">
        <v>2287</v>
      </c>
      <c r="D841" s="1124">
        <v>1457</v>
      </c>
      <c r="E841" s="1124">
        <v>1600</v>
      </c>
      <c r="F841" s="1124"/>
      <c r="G841" s="1124"/>
      <c r="H841" s="282">
        <f t="shared" si="42"/>
        <v>1457</v>
      </c>
      <c r="I841" s="282">
        <f t="shared" si="42"/>
        <v>1600</v>
      </c>
    </row>
    <row r="842" spans="2:9" ht="15" customHeight="1">
      <c r="B842" s="631" t="s">
        <v>3113</v>
      </c>
      <c r="C842" s="632" t="s">
        <v>3114</v>
      </c>
      <c r="D842" s="1124">
        <v>91</v>
      </c>
      <c r="E842" s="1124">
        <v>70</v>
      </c>
      <c r="F842" s="1124"/>
      <c r="G842" s="1124"/>
      <c r="H842" s="282">
        <f t="shared" si="42"/>
        <v>91</v>
      </c>
      <c r="I842" s="282">
        <f t="shared" si="42"/>
        <v>70</v>
      </c>
    </row>
    <row r="843" spans="2:9" ht="15" customHeight="1">
      <c r="B843" s="620" t="s">
        <v>3115</v>
      </c>
      <c r="C843" s="629" t="s">
        <v>3116</v>
      </c>
      <c r="D843" s="1124">
        <v>1957</v>
      </c>
      <c r="E843" s="1124">
        <v>2500</v>
      </c>
      <c r="F843" s="1124"/>
      <c r="G843" s="1124"/>
      <c r="H843" s="282">
        <f t="shared" si="42"/>
        <v>1957</v>
      </c>
      <c r="I843" s="282">
        <f t="shared" si="42"/>
        <v>2500</v>
      </c>
    </row>
    <row r="844" spans="2:9" ht="15" customHeight="1">
      <c r="B844" s="620" t="s">
        <v>3117</v>
      </c>
      <c r="C844" s="633" t="s">
        <v>3118</v>
      </c>
      <c r="D844" s="1124">
        <v>1042</v>
      </c>
      <c r="E844" s="1124">
        <v>1600</v>
      </c>
      <c r="F844" s="1124"/>
      <c r="G844" s="1124"/>
      <c r="H844" s="282">
        <f t="shared" si="42"/>
        <v>1042</v>
      </c>
      <c r="I844" s="282">
        <f t="shared" si="42"/>
        <v>1600</v>
      </c>
    </row>
    <row r="845" spans="2:9" ht="15" customHeight="1">
      <c r="B845" s="631" t="s">
        <v>3119</v>
      </c>
      <c r="C845" s="634" t="s">
        <v>3120</v>
      </c>
      <c r="D845" s="1124">
        <v>13</v>
      </c>
      <c r="E845" s="1124">
        <v>50</v>
      </c>
      <c r="F845" s="1124"/>
      <c r="G845" s="1124"/>
      <c r="H845" s="282">
        <f t="shared" si="42"/>
        <v>13</v>
      </c>
      <c r="I845" s="282">
        <f t="shared" si="42"/>
        <v>50</v>
      </c>
    </row>
    <row r="846" spans="2:9" ht="15" customHeight="1">
      <c r="B846" s="620" t="s">
        <v>3121</v>
      </c>
      <c r="C846" s="635" t="s">
        <v>3122</v>
      </c>
      <c r="D846" s="1124">
        <v>327</v>
      </c>
      <c r="E846" s="1124">
        <v>300</v>
      </c>
      <c r="F846" s="1124"/>
      <c r="G846" s="1124"/>
      <c r="H846" s="282">
        <f t="shared" si="42"/>
        <v>327</v>
      </c>
      <c r="I846" s="282">
        <f t="shared" si="42"/>
        <v>300</v>
      </c>
    </row>
    <row r="847" spans="2:9" ht="14.25" customHeight="1">
      <c r="B847" s="620" t="s">
        <v>3123</v>
      </c>
      <c r="C847" s="635" t="s">
        <v>3124</v>
      </c>
      <c r="D847" s="1124">
        <v>10</v>
      </c>
      <c r="E847" s="1124">
        <v>5</v>
      </c>
      <c r="F847" s="1124"/>
      <c r="G847" s="1124"/>
      <c r="H847" s="282">
        <f t="shared" si="42"/>
        <v>10</v>
      </c>
      <c r="I847" s="282">
        <f t="shared" si="42"/>
        <v>5</v>
      </c>
    </row>
    <row r="848" spans="2:9" ht="15" customHeight="1">
      <c r="B848" s="631" t="s">
        <v>3125</v>
      </c>
      <c r="C848" s="634" t="s">
        <v>3126</v>
      </c>
      <c r="D848" s="1124">
        <v>66</v>
      </c>
      <c r="E848" s="1124">
        <v>60</v>
      </c>
      <c r="F848" s="1124"/>
      <c r="G848" s="1124"/>
      <c r="H848" s="282">
        <f t="shared" si="42"/>
        <v>66</v>
      </c>
      <c r="I848" s="282">
        <f t="shared" si="42"/>
        <v>60</v>
      </c>
    </row>
    <row r="849" spans="2:9" ht="15" customHeight="1">
      <c r="B849" s="631" t="s">
        <v>3127</v>
      </c>
      <c r="C849" s="636" t="s">
        <v>3128</v>
      </c>
      <c r="D849" s="1124">
        <v>12</v>
      </c>
      <c r="E849" s="1124">
        <v>5</v>
      </c>
      <c r="F849" s="1124"/>
      <c r="G849" s="1124"/>
      <c r="H849" s="282">
        <f t="shared" si="42"/>
        <v>12</v>
      </c>
      <c r="I849" s="282">
        <f t="shared" si="42"/>
        <v>5</v>
      </c>
    </row>
    <row r="850" spans="2:9" ht="15" customHeight="1">
      <c r="B850" s="637" t="s">
        <v>2631</v>
      </c>
      <c r="C850" s="632" t="s">
        <v>3129</v>
      </c>
      <c r="D850" s="1124">
        <v>327</v>
      </c>
      <c r="E850" s="1124">
        <v>300</v>
      </c>
      <c r="F850" s="1124"/>
      <c r="G850" s="1124"/>
      <c r="H850" s="282">
        <f t="shared" si="42"/>
        <v>327</v>
      </c>
      <c r="I850" s="282">
        <f t="shared" si="42"/>
        <v>300</v>
      </c>
    </row>
    <row r="851" spans="2:9" ht="15" customHeight="1">
      <c r="B851" s="406" t="s">
        <v>2078</v>
      </c>
      <c r="C851" s="1088" t="s">
        <v>2340</v>
      </c>
      <c r="D851" s="1124">
        <v>11</v>
      </c>
      <c r="E851" s="1124">
        <v>20</v>
      </c>
      <c r="F851" s="468"/>
      <c r="G851" s="468"/>
      <c r="H851" s="564">
        <f t="shared" si="42"/>
        <v>11</v>
      </c>
      <c r="I851" s="282">
        <f t="shared" si="42"/>
        <v>20</v>
      </c>
    </row>
    <row r="852" spans="2:9" ht="15" customHeight="1">
      <c r="B852" s="619" t="s">
        <v>3018</v>
      </c>
      <c r="C852" s="638" t="s">
        <v>3019</v>
      </c>
      <c r="D852" s="1124"/>
      <c r="E852" s="1124"/>
      <c r="F852" s="1124">
        <v>36</v>
      </c>
      <c r="G852" s="1124">
        <v>40</v>
      </c>
      <c r="H852" s="282">
        <f t="shared" si="42"/>
        <v>36</v>
      </c>
      <c r="I852" s="282">
        <f t="shared" si="42"/>
        <v>40</v>
      </c>
    </row>
    <row r="853" spans="2:9" ht="15" customHeight="1">
      <c r="B853" s="619" t="s">
        <v>2855</v>
      </c>
      <c r="C853" s="638" t="s">
        <v>2856</v>
      </c>
      <c r="D853" s="1124">
        <v>1440</v>
      </c>
      <c r="E853" s="1124">
        <v>1200</v>
      </c>
      <c r="F853" s="1124"/>
      <c r="G853" s="1124"/>
      <c r="H853" s="282">
        <f t="shared" si="42"/>
        <v>1440</v>
      </c>
      <c r="I853" s="282">
        <f t="shared" si="42"/>
        <v>1200</v>
      </c>
    </row>
    <row r="854" spans="2:9" ht="15" customHeight="1">
      <c r="B854" s="449" t="s">
        <v>3130</v>
      </c>
      <c r="C854" s="639" t="s">
        <v>3131</v>
      </c>
      <c r="D854" s="1124">
        <v>3787</v>
      </c>
      <c r="E854" s="1124">
        <v>4500</v>
      </c>
      <c r="F854" s="1124"/>
      <c r="G854" s="1124"/>
      <c r="H854" s="282">
        <f t="shared" si="42"/>
        <v>3787</v>
      </c>
      <c r="I854" s="282">
        <f t="shared" si="42"/>
        <v>4500</v>
      </c>
    </row>
    <row r="855" spans="2:9" ht="15" customHeight="1">
      <c r="B855" s="619" t="s">
        <v>2092</v>
      </c>
      <c r="C855" s="638" t="s">
        <v>3132</v>
      </c>
      <c r="D855" s="1124">
        <v>9</v>
      </c>
      <c r="E855" s="1124">
        <v>10</v>
      </c>
      <c r="F855" s="1124"/>
      <c r="G855" s="1124"/>
      <c r="H855" s="282">
        <f t="shared" si="42"/>
        <v>9</v>
      </c>
      <c r="I855" s="282">
        <f t="shared" si="42"/>
        <v>10</v>
      </c>
    </row>
    <row r="856" spans="2:9" ht="15" customHeight="1">
      <c r="B856" s="619" t="s">
        <v>2094</v>
      </c>
      <c r="C856" s="638" t="s">
        <v>3133</v>
      </c>
      <c r="D856" s="1124">
        <v>2</v>
      </c>
      <c r="E856" s="1124">
        <v>10</v>
      </c>
      <c r="F856" s="1124"/>
      <c r="G856" s="1124"/>
      <c r="H856" s="282">
        <f t="shared" si="42"/>
        <v>2</v>
      </c>
      <c r="I856" s="282">
        <f t="shared" si="42"/>
        <v>10</v>
      </c>
    </row>
    <row r="857" spans="2:9" ht="15" customHeight="1">
      <c r="B857" s="619" t="s">
        <v>2098</v>
      </c>
      <c r="C857" s="638" t="s">
        <v>3134</v>
      </c>
      <c r="D857" s="1124">
        <v>0</v>
      </c>
      <c r="E857" s="1124">
        <v>1</v>
      </c>
      <c r="F857" s="1124"/>
      <c r="G857" s="1124"/>
      <c r="H857" s="282">
        <f t="shared" si="42"/>
        <v>0</v>
      </c>
      <c r="I857" s="282">
        <f t="shared" si="42"/>
        <v>1</v>
      </c>
    </row>
    <row r="858" spans="2:9" ht="15" customHeight="1">
      <c r="B858" s="619" t="s">
        <v>2104</v>
      </c>
      <c r="C858" s="594" t="s">
        <v>3135</v>
      </c>
      <c r="D858" s="1124">
        <v>0</v>
      </c>
      <c r="E858" s="1124">
        <v>1</v>
      </c>
      <c r="F858" s="1124"/>
      <c r="G858" s="1124"/>
      <c r="H858" s="282">
        <f t="shared" si="42"/>
        <v>0</v>
      </c>
      <c r="I858" s="282">
        <f t="shared" si="42"/>
        <v>1</v>
      </c>
    </row>
    <row r="859" spans="2:9" ht="15" customHeight="1">
      <c r="B859" s="406" t="s">
        <v>2133</v>
      </c>
      <c r="C859" s="406" t="s">
        <v>2134</v>
      </c>
      <c r="D859" s="1124">
        <v>22</v>
      </c>
      <c r="E859" s="1124">
        <v>20</v>
      </c>
      <c r="F859" s="1124"/>
      <c r="G859" s="1124"/>
      <c r="H859" s="282">
        <f t="shared" si="42"/>
        <v>22</v>
      </c>
      <c r="I859" s="282">
        <f t="shared" si="42"/>
        <v>20</v>
      </c>
    </row>
    <row r="860" spans="2:9" ht="15" customHeight="1">
      <c r="B860" s="509" t="s">
        <v>2</v>
      </c>
      <c r="C860" s="445"/>
      <c r="D860" s="423">
        <f>SUM(D834:D859)</f>
        <v>12161</v>
      </c>
      <c r="E860" s="423">
        <f>SUM(E834:E859)</f>
        <v>13167</v>
      </c>
      <c r="F860" s="423">
        <f>SUM(F834:F859)</f>
        <v>36</v>
      </c>
      <c r="G860" s="423">
        <f>SUM(G834:G859)</f>
        <v>40</v>
      </c>
      <c r="H860" s="424">
        <f t="shared" si="42"/>
        <v>12197</v>
      </c>
      <c r="I860" s="424">
        <f t="shared" si="42"/>
        <v>13207</v>
      </c>
    </row>
    <row r="861" spans="2:9" ht="15" customHeight="1">
      <c r="B861" s="532"/>
      <c r="C861" s="640" t="s">
        <v>3136</v>
      </c>
      <c r="D861" s="440"/>
      <c r="E861" s="440"/>
      <c r="F861" s="440"/>
      <c r="G861" s="440"/>
      <c r="H861" s="440"/>
      <c r="I861" s="440"/>
    </row>
    <row r="862" spans="2:9" ht="15" customHeight="1">
      <c r="B862" s="641" t="s">
        <v>3137</v>
      </c>
      <c r="C862" s="466" t="s">
        <v>3138</v>
      </c>
      <c r="D862" s="468">
        <v>264</v>
      </c>
      <c r="E862" s="468">
        <v>160</v>
      </c>
      <c r="F862" s="467"/>
      <c r="G862" s="467"/>
      <c r="H862" s="570">
        <f t="shared" ref="H862:I864" si="43">D862+F862</f>
        <v>264</v>
      </c>
      <c r="I862" s="469">
        <f t="shared" si="43"/>
        <v>160</v>
      </c>
    </row>
    <row r="863" spans="2:9" ht="15" customHeight="1">
      <c r="B863" s="641" t="s">
        <v>3139</v>
      </c>
      <c r="C863" s="466" t="s">
        <v>3140</v>
      </c>
      <c r="D863" s="468">
        <v>59</v>
      </c>
      <c r="E863" s="468">
        <v>50</v>
      </c>
      <c r="F863" s="467"/>
      <c r="G863" s="467"/>
      <c r="H863" s="570">
        <f t="shared" si="43"/>
        <v>59</v>
      </c>
      <c r="I863" s="469">
        <f t="shared" si="43"/>
        <v>50</v>
      </c>
    </row>
    <row r="864" spans="2:9" ht="15" customHeight="1">
      <c r="B864" s="509" t="s">
        <v>2</v>
      </c>
      <c r="C864" s="445"/>
      <c r="D864" s="423">
        <f>SUM(D862:D862)</f>
        <v>264</v>
      </c>
      <c r="E864" s="423">
        <v>210</v>
      </c>
      <c r="F864" s="423">
        <f>SUM(F862:F862)</f>
        <v>0</v>
      </c>
      <c r="G864" s="423">
        <f>SUM(G862:G862)</f>
        <v>0</v>
      </c>
      <c r="H864" s="424">
        <f t="shared" si="43"/>
        <v>264</v>
      </c>
      <c r="I864" s="424">
        <f t="shared" si="43"/>
        <v>210</v>
      </c>
    </row>
    <row r="865" spans="2:9" ht="15" customHeight="1">
      <c r="B865" s="642"/>
      <c r="C865" s="643" t="s">
        <v>55</v>
      </c>
      <c r="D865" s="644"/>
      <c r="E865" s="645"/>
      <c r="F865" s="645"/>
      <c r="G865" s="645"/>
      <c r="H865" s="646"/>
      <c r="I865" s="646"/>
    </row>
    <row r="866" spans="2:9" ht="15" customHeight="1">
      <c r="B866" s="438"/>
      <c r="C866" s="578" t="s">
        <v>3141</v>
      </c>
      <c r="D866" s="440"/>
      <c r="E866" s="440"/>
      <c r="F866" s="440"/>
      <c r="G866" s="440"/>
      <c r="H866" s="440"/>
      <c r="I866" s="440"/>
    </row>
    <row r="867" spans="2:9" ht="15" customHeight="1">
      <c r="B867" s="406" t="s">
        <v>2069</v>
      </c>
      <c r="C867" s="448" t="s">
        <v>2070</v>
      </c>
      <c r="D867" s="564">
        <v>0</v>
      </c>
      <c r="E867" s="1124">
        <v>1</v>
      </c>
      <c r="F867" s="1124"/>
      <c r="G867" s="1124"/>
      <c r="H867" s="282">
        <f t="shared" ref="H867:I870" si="44">D867+F867</f>
        <v>0</v>
      </c>
      <c r="I867" s="282">
        <f t="shared" si="44"/>
        <v>1</v>
      </c>
    </row>
    <row r="868" spans="2:9" ht="15.75" customHeight="1">
      <c r="B868" s="1089" t="s">
        <v>2092</v>
      </c>
      <c r="C868" s="1088" t="s">
        <v>2093</v>
      </c>
      <c r="D868" s="564">
        <v>41</v>
      </c>
      <c r="E868" s="1124">
        <v>1</v>
      </c>
      <c r="F868" s="1124"/>
      <c r="G868" s="1124"/>
      <c r="H868" s="282">
        <f t="shared" si="44"/>
        <v>41</v>
      </c>
      <c r="I868" s="282">
        <f t="shared" si="44"/>
        <v>1</v>
      </c>
    </row>
    <row r="869" spans="2:9" ht="15" customHeight="1">
      <c r="B869" s="1089" t="s">
        <v>2094</v>
      </c>
      <c r="C869" s="1088" t="s">
        <v>2375</v>
      </c>
      <c r="D869" s="564">
        <v>163</v>
      </c>
      <c r="E869" s="1124">
        <v>1</v>
      </c>
      <c r="F869" s="1124"/>
      <c r="G869" s="1124"/>
      <c r="H869" s="282">
        <f t="shared" si="44"/>
        <v>163</v>
      </c>
      <c r="I869" s="282">
        <f t="shared" si="44"/>
        <v>1</v>
      </c>
    </row>
    <row r="870" spans="2:9" ht="15" customHeight="1">
      <c r="B870" s="1089" t="s">
        <v>2098</v>
      </c>
      <c r="C870" s="1088" t="s">
        <v>2099</v>
      </c>
      <c r="D870" s="564">
        <v>59</v>
      </c>
      <c r="E870" s="1124">
        <v>1</v>
      </c>
      <c r="F870" s="1124"/>
      <c r="G870" s="1124"/>
      <c r="H870" s="282">
        <f t="shared" si="44"/>
        <v>59</v>
      </c>
      <c r="I870" s="282">
        <f t="shared" si="44"/>
        <v>1</v>
      </c>
    </row>
    <row r="871" spans="2:9" ht="15" customHeight="1">
      <c r="B871" s="1089" t="s">
        <v>2102</v>
      </c>
      <c r="C871" s="1088" t="s">
        <v>2103</v>
      </c>
      <c r="D871" s="564">
        <v>227</v>
      </c>
      <c r="E871" s="1124">
        <v>1</v>
      </c>
      <c r="F871" s="1124"/>
      <c r="G871" s="1124"/>
      <c r="H871" s="282">
        <f>D871+F871</f>
        <v>227</v>
      </c>
      <c r="I871" s="282">
        <v>1</v>
      </c>
    </row>
    <row r="872" spans="2:9" ht="15" customHeight="1">
      <c r="B872" s="509" t="s">
        <v>2</v>
      </c>
      <c r="C872" s="647"/>
      <c r="D872" s="423">
        <f>SUM(D867:D871)</f>
        <v>490</v>
      </c>
      <c r="E872" s="423">
        <f>SUM(E867:E871)</f>
        <v>5</v>
      </c>
      <c r="F872" s="423">
        <f>SUM(F867:F871)</f>
        <v>0</v>
      </c>
      <c r="G872" s="423">
        <f>SUM(G867:G871)</f>
        <v>0</v>
      </c>
      <c r="H872" s="424">
        <f>D872+F872</f>
        <v>490</v>
      </c>
      <c r="I872" s="424">
        <f>E872+G872</f>
        <v>5</v>
      </c>
    </row>
    <row r="873" spans="2:9" ht="15" customHeight="1" thickBot="1">
      <c r="B873" s="648"/>
      <c r="C873" s="649" t="s">
        <v>3142</v>
      </c>
      <c r="D873" s="440"/>
      <c r="E873" s="440"/>
      <c r="F873" s="440"/>
      <c r="G873" s="440"/>
      <c r="H873" s="440"/>
      <c r="I873" s="440"/>
    </row>
    <row r="874" spans="2:9" ht="15" customHeight="1">
      <c r="B874" s="590" t="s">
        <v>2871</v>
      </c>
      <c r="C874" s="650" t="s">
        <v>2652</v>
      </c>
      <c r="D874" s="564">
        <v>1136</v>
      </c>
      <c r="E874" s="1124">
        <v>1</v>
      </c>
      <c r="F874" s="564"/>
      <c r="G874" s="1124"/>
      <c r="H874" s="282">
        <f>D874+F874</f>
        <v>1136</v>
      </c>
      <c r="I874" s="282">
        <f>E874+G874</f>
        <v>1</v>
      </c>
    </row>
    <row r="875" spans="2:9" ht="15" customHeight="1">
      <c r="B875" s="590" t="s">
        <v>3143</v>
      </c>
      <c r="C875" s="590" t="s">
        <v>3144</v>
      </c>
      <c r="D875" s="564">
        <v>0</v>
      </c>
      <c r="E875" s="1124">
        <v>1</v>
      </c>
      <c r="F875" s="564"/>
      <c r="G875" s="1124"/>
      <c r="H875" s="282">
        <f t="shared" ref="H875:H881" si="45">D875+F875</f>
        <v>0</v>
      </c>
      <c r="I875" s="282">
        <v>1</v>
      </c>
    </row>
    <row r="876" spans="2:9" ht="17.25" customHeight="1">
      <c r="B876" s="590" t="s">
        <v>3145</v>
      </c>
      <c r="C876" s="590" t="s">
        <v>3146</v>
      </c>
      <c r="D876" s="564">
        <v>0</v>
      </c>
      <c r="E876" s="1124">
        <v>1</v>
      </c>
      <c r="F876" s="564"/>
      <c r="G876" s="1124"/>
      <c r="H876" s="282">
        <f t="shared" si="45"/>
        <v>0</v>
      </c>
      <c r="I876" s="282">
        <v>1</v>
      </c>
    </row>
    <row r="877" spans="2:9" ht="17.25" customHeight="1">
      <c r="B877" s="590" t="s">
        <v>3147</v>
      </c>
      <c r="C877" s="650" t="s">
        <v>3148</v>
      </c>
      <c r="D877" s="564">
        <v>1136</v>
      </c>
      <c r="E877" s="1124">
        <v>1</v>
      </c>
      <c r="F877" s="564"/>
      <c r="G877" s="1124"/>
      <c r="H877" s="282">
        <f t="shared" si="45"/>
        <v>1136</v>
      </c>
      <c r="I877" s="282">
        <f>E877+G877</f>
        <v>1</v>
      </c>
    </row>
    <row r="878" spans="2:9" ht="15" customHeight="1">
      <c r="B878" s="514" t="s">
        <v>2957</v>
      </c>
      <c r="C878" s="432" t="s">
        <v>2958</v>
      </c>
      <c r="D878" s="575">
        <v>1136</v>
      </c>
      <c r="E878" s="477">
        <v>1</v>
      </c>
      <c r="F878" s="575"/>
      <c r="G878" s="477"/>
      <c r="H878" s="282">
        <f t="shared" si="45"/>
        <v>1136</v>
      </c>
      <c r="I878" s="282">
        <f>E878+G878</f>
        <v>1</v>
      </c>
    </row>
    <row r="879" spans="2:9" ht="15" customHeight="1">
      <c r="B879" s="514" t="s">
        <v>2959</v>
      </c>
      <c r="C879" s="432" t="s">
        <v>2960</v>
      </c>
      <c r="D879" s="575">
        <v>1136</v>
      </c>
      <c r="E879" s="477">
        <v>1</v>
      </c>
      <c r="F879" s="575"/>
      <c r="G879" s="477"/>
      <c r="H879" s="282">
        <f t="shared" si="45"/>
        <v>1136</v>
      </c>
      <c r="I879" s="282">
        <f>E879+G879</f>
        <v>1</v>
      </c>
    </row>
    <row r="880" spans="2:9" ht="14.25" customHeight="1">
      <c r="B880" s="514" t="s">
        <v>2086</v>
      </c>
      <c r="C880" s="432" t="s">
        <v>2087</v>
      </c>
      <c r="D880" s="575">
        <v>5</v>
      </c>
      <c r="E880" s="477">
        <v>1</v>
      </c>
      <c r="F880" s="575"/>
      <c r="G880" s="477"/>
      <c r="H880" s="282">
        <f t="shared" si="45"/>
        <v>5</v>
      </c>
      <c r="I880" s="282">
        <f>E880+G880</f>
        <v>1</v>
      </c>
    </row>
    <row r="881" spans="2:9" ht="15" customHeight="1">
      <c r="B881" s="509" t="s">
        <v>2</v>
      </c>
      <c r="C881" s="647"/>
      <c r="D881" s="423">
        <f>SUM(D874:D880)</f>
        <v>4549</v>
      </c>
      <c r="E881" s="423">
        <f>SUM(E874:E880)</f>
        <v>7</v>
      </c>
      <c r="F881" s="423">
        <f>SUM(F874:F880)</f>
        <v>0</v>
      </c>
      <c r="G881" s="423">
        <f>SUM(G874:G880)</f>
        <v>0</v>
      </c>
      <c r="H881" s="424">
        <f t="shared" si="45"/>
        <v>4549</v>
      </c>
      <c r="I881" s="424">
        <f>E881+G881</f>
        <v>7</v>
      </c>
    </row>
    <row r="882" spans="2:9" ht="15" customHeight="1">
      <c r="B882" s="651"/>
      <c r="C882" s="652" t="s">
        <v>3149</v>
      </c>
      <c r="D882" s="462"/>
      <c r="E882" s="462"/>
      <c r="F882" s="462"/>
      <c r="G882" s="462"/>
      <c r="H882" s="463"/>
      <c r="I882" s="653"/>
    </row>
    <row r="883" spans="2:9" ht="15" customHeight="1">
      <c r="B883" s="438"/>
      <c r="C883" s="578" t="s">
        <v>3150</v>
      </c>
      <c r="D883" s="440"/>
      <c r="E883" s="440"/>
      <c r="F883" s="440"/>
      <c r="G883" s="440"/>
      <c r="H883" s="440"/>
      <c r="I883" s="440"/>
    </row>
    <row r="884" spans="2:9" ht="15" customHeight="1">
      <c r="B884" s="1089" t="s">
        <v>2094</v>
      </c>
      <c r="C884" s="486" t="s">
        <v>2375</v>
      </c>
      <c r="D884" s="564">
        <v>323</v>
      </c>
      <c r="E884" s="1124">
        <v>250</v>
      </c>
      <c r="F884" s="1124"/>
      <c r="G884" s="1124"/>
      <c r="H884" s="282">
        <f t="shared" ref="H884:I887" si="46">D884+F884</f>
        <v>323</v>
      </c>
      <c r="I884" s="282">
        <f t="shared" si="46"/>
        <v>250</v>
      </c>
    </row>
    <row r="885" spans="2:9" ht="15" customHeight="1">
      <c r="B885" s="1089" t="s">
        <v>2104</v>
      </c>
      <c r="C885" s="1088" t="s">
        <v>2105</v>
      </c>
      <c r="D885" s="564">
        <v>81</v>
      </c>
      <c r="E885" s="1124">
        <v>30</v>
      </c>
      <c r="F885" s="1124"/>
      <c r="G885" s="1124"/>
      <c r="H885" s="282">
        <f t="shared" si="46"/>
        <v>81</v>
      </c>
      <c r="I885" s="282">
        <f t="shared" si="46"/>
        <v>30</v>
      </c>
    </row>
    <row r="886" spans="2:9" ht="15" customHeight="1">
      <c r="B886" s="1089" t="s">
        <v>2380</v>
      </c>
      <c r="C886" s="431" t="s">
        <v>2971</v>
      </c>
      <c r="D886" s="477">
        <v>133</v>
      </c>
      <c r="E886" s="477">
        <v>200</v>
      </c>
      <c r="F886" s="654"/>
      <c r="G886" s="654"/>
      <c r="H886" s="282">
        <f t="shared" si="46"/>
        <v>133</v>
      </c>
      <c r="I886" s="282">
        <f t="shared" si="46"/>
        <v>200</v>
      </c>
    </row>
    <row r="887" spans="2:9" ht="15" customHeight="1" thickBot="1">
      <c r="B887" s="509" t="s">
        <v>2</v>
      </c>
      <c r="C887" s="655"/>
      <c r="D887" s="656">
        <f>SUM(D884:D886)</f>
        <v>537</v>
      </c>
      <c r="E887" s="656">
        <f>SUM(E884:E886)</f>
        <v>480</v>
      </c>
      <c r="F887" s="656">
        <f>SUM(F884:F886)</f>
        <v>0</v>
      </c>
      <c r="G887" s="656">
        <f>SUM(G884:G886)</f>
        <v>0</v>
      </c>
      <c r="H887" s="657">
        <f t="shared" si="46"/>
        <v>537</v>
      </c>
      <c r="I887" s="658">
        <f t="shared" si="46"/>
        <v>480</v>
      </c>
    </row>
    <row r="888" spans="2:9" ht="15" customHeight="1">
      <c r="B888" s="659"/>
      <c r="C888" s="489" t="s">
        <v>3151</v>
      </c>
      <c r="D888" s="440"/>
      <c r="E888" s="440"/>
      <c r="F888" s="440"/>
      <c r="G888" s="440"/>
      <c r="H888" s="440"/>
      <c r="I888" s="440"/>
    </row>
    <row r="889" spans="2:9" ht="15" customHeight="1" thickBot="1">
      <c r="B889" s="660"/>
      <c r="C889" s="661"/>
      <c r="D889" s="1123"/>
      <c r="E889" s="1123"/>
      <c r="F889" s="1124"/>
      <c r="G889" s="1124"/>
      <c r="H889" s="1123"/>
      <c r="I889" s="1123"/>
    </row>
    <row r="890" spans="2:9" ht="15" customHeight="1" thickBot="1">
      <c r="B890" s="509" t="s">
        <v>2</v>
      </c>
      <c r="C890" s="655"/>
      <c r="D890" s="662">
        <f>SUM(D889:D889)</f>
        <v>0</v>
      </c>
      <c r="E890" s="662">
        <f>SUM(E889:E889)</f>
        <v>0</v>
      </c>
      <c r="F890" s="662">
        <f>SUM(F889:F889)</f>
        <v>0</v>
      </c>
      <c r="G890" s="662">
        <f>SUM(G889:G889)</f>
        <v>0</v>
      </c>
      <c r="H890" s="663">
        <f>D890+F890</f>
        <v>0</v>
      </c>
      <c r="I890" s="664">
        <f>E890+G890</f>
        <v>0</v>
      </c>
    </row>
    <row r="891" spans="2:9" ht="15" customHeight="1">
      <c r="B891" s="665"/>
      <c r="C891" s="666" t="s">
        <v>3152</v>
      </c>
      <c r="D891" s="440"/>
      <c r="E891" s="440"/>
      <c r="F891" s="440"/>
      <c r="G891" s="440"/>
      <c r="H891" s="440"/>
      <c r="I891" s="440"/>
    </row>
    <row r="892" spans="2:9" ht="15" customHeight="1" thickBot="1">
      <c r="B892" s="619" t="s">
        <v>3153</v>
      </c>
      <c r="C892" s="638" t="s">
        <v>3154</v>
      </c>
      <c r="D892" s="1123">
        <v>176</v>
      </c>
      <c r="E892" s="1123">
        <v>150</v>
      </c>
      <c r="F892" s="1124"/>
      <c r="G892" s="1124"/>
      <c r="H892" s="1123">
        <f>D892+F892</f>
        <v>176</v>
      </c>
      <c r="I892" s="1123">
        <f>E892+G892</f>
        <v>150</v>
      </c>
    </row>
    <row r="893" spans="2:9" ht="15" customHeight="1" thickBot="1">
      <c r="B893" s="509" t="s">
        <v>2</v>
      </c>
      <c r="C893" s="655"/>
      <c r="D893" s="662">
        <f>SUM(D892:D892)</f>
        <v>176</v>
      </c>
      <c r="E893" s="662">
        <f>SUM(E892:E892)</f>
        <v>150</v>
      </c>
      <c r="F893" s="662">
        <f>SUM(F892:F892)</f>
        <v>0</v>
      </c>
      <c r="G893" s="662">
        <f>SUM(G892:G892)</f>
        <v>0</v>
      </c>
      <c r="H893" s="663">
        <f>D893+F893</f>
        <v>176</v>
      </c>
      <c r="I893" s="664">
        <f>E893+G893</f>
        <v>150</v>
      </c>
    </row>
    <row r="894" spans="2:9" ht="15" customHeight="1">
      <c r="B894" s="642"/>
      <c r="C894" s="675" t="s">
        <v>55</v>
      </c>
      <c r="D894" s="644"/>
      <c r="E894" s="645"/>
      <c r="F894" s="645"/>
      <c r="G894" s="645"/>
      <c r="H894" s="646"/>
      <c r="I894" s="646"/>
    </row>
    <row r="895" spans="2:9" ht="17.25" customHeight="1">
      <c r="B895" s="438"/>
      <c r="C895" s="676" t="s">
        <v>3217</v>
      </c>
      <c r="D895" s="556"/>
      <c r="E895" s="556"/>
      <c r="F895" s="556"/>
      <c r="G895" s="556"/>
      <c r="H895" s="557"/>
      <c r="I895" s="557"/>
    </row>
    <row r="896" spans="2:9" ht="15" customHeight="1">
      <c r="B896" s="411" t="s">
        <v>1888</v>
      </c>
      <c r="C896" s="677" t="s">
        <v>3218</v>
      </c>
      <c r="D896" s="1092">
        <v>348</v>
      </c>
      <c r="E896" s="1092">
        <v>350</v>
      </c>
      <c r="F896" s="1124"/>
      <c r="G896" s="1124"/>
      <c r="H896" s="564">
        <f t="shared" ref="H896:I905" si="47">D896+F896</f>
        <v>348</v>
      </c>
      <c r="I896" s="282">
        <f t="shared" si="47"/>
        <v>350</v>
      </c>
    </row>
    <row r="897" spans="2:9" ht="15" customHeight="1">
      <c r="B897" s="464" t="s">
        <v>3219</v>
      </c>
      <c r="C897" s="677" t="s">
        <v>3220</v>
      </c>
      <c r="D897" s="1092">
        <v>0</v>
      </c>
      <c r="E897" s="1092">
        <v>1</v>
      </c>
      <c r="F897" s="1124"/>
      <c r="G897" s="1124"/>
      <c r="H897" s="564">
        <f t="shared" si="47"/>
        <v>0</v>
      </c>
      <c r="I897" s="282">
        <f t="shared" si="47"/>
        <v>1</v>
      </c>
    </row>
    <row r="898" spans="2:9" ht="15" customHeight="1">
      <c r="B898" s="464" t="s">
        <v>3221</v>
      </c>
      <c r="C898" s="677" t="s">
        <v>3222</v>
      </c>
      <c r="D898" s="1092">
        <v>85</v>
      </c>
      <c r="E898" s="1092">
        <v>80</v>
      </c>
      <c r="F898" s="1124"/>
      <c r="G898" s="1124"/>
      <c r="H898" s="564">
        <f t="shared" si="47"/>
        <v>85</v>
      </c>
      <c r="I898" s="282">
        <f t="shared" si="47"/>
        <v>80</v>
      </c>
    </row>
    <row r="899" spans="2:9" ht="15" customHeight="1">
      <c r="B899" s="464" t="s">
        <v>3223</v>
      </c>
      <c r="C899" s="677" t="s">
        <v>3224</v>
      </c>
      <c r="D899" s="1092">
        <v>1</v>
      </c>
      <c r="E899" s="1092">
        <v>10</v>
      </c>
      <c r="F899" s="1124"/>
      <c r="G899" s="1124"/>
      <c r="H899" s="564">
        <f t="shared" si="47"/>
        <v>1</v>
      </c>
      <c r="I899" s="282">
        <f t="shared" si="47"/>
        <v>10</v>
      </c>
    </row>
    <row r="900" spans="2:9" ht="15" customHeight="1">
      <c r="B900" s="464" t="s">
        <v>3225</v>
      </c>
      <c r="C900" s="677" t="s">
        <v>3226</v>
      </c>
      <c r="D900" s="1092">
        <v>1</v>
      </c>
      <c r="E900" s="1092">
        <v>10</v>
      </c>
      <c r="F900" s="1124"/>
      <c r="G900" s="1124"/>
      <c r="H900" s="564">
        <f t="shared" si="47"/>
        <v>1</v>
      </c>
      <c r="I900" s="282">
        <f t="shared" si="47"/>
        <v>10</v>
      </c>
    </row>
    <row r="901" spans="2:9" ht="15" customHeight="1">
      <c r="B901" s="464" t="s">
        <v>3227</v>
      </c>
      <c r="C901" s="677" t="s">
        <v>3228</v>
      </c>
      <c r="D901" s="1092">
        <v>129</v>
      </c>
      <c r="E901" s="1092">
        <v>200</v>
      </c>
      <c r="F901" s="1124"/>
      <c r="G901" s="1124"/>
      <c r="H901" s="564">
        <f t="shared" si="47"/>
        <v>129</v>
      </c>
      <c r="I901" s="282">
        <f t="shared" si="47"/>
        <v>200</v>
      </c>
    </row>
    <row r="902" spans="2:9" ht="15" customHeight="1">
      <c r="B902" s="464" t="s">
        <v>3229</v>
      </c>
      <c r="C902" s="677" t="s">
        <v>3230</v>
      </c>
      <c r="D902" s="1092">
        <v>208</v>
      </c>
      <c r="E902" s="1092">
        <v>200</v>
      </c>
      <c r="F902" s="1124"/>
      <c r="G902" s="1124"/>
      <c r="H902" s="564">
        <f t="shared" si="47"/>
        <v>208</v>
      </c>
      <c r="I902" s="282">
        <f t="shared" si="47"/>
        <v>200</v>
      </c>
    </row>
    <row r="903" spans="2:9" ht="15" customHeight="1">
      <c r="B903" s="464" t="s">
        <v>3231</v>
      </c>
      <c r="C903" s="677" t="s">
        <v>3232</v>
      </c>
      <c r="D903" s="1092">
        <v>153</v>
      </c>
      <c r="E903" s="1092">
        <v>250</v>
      </c>
      <c r="F903" s="1124"/>
      <c r="G903" s="1124"/>
      <c r="H903" s="564">
        <f t="shared" si="47"/>
        <v>153</v>
      </c>
      <c r="I903" s="282">
        <f t="shared" si="47"/>
        <v>250</v>
      </c>
    </row>
    <row r="904" spans="2:9" ht="15" customHeight="1">
      <c r="B904" s="464" t="s">
        <v>3233</v>
      </c>
      <c r="C904" s="677" t="s">
        <v>3234</v>
      </c>
      <c r="D904" s="1092">
        <v>0</v>
      </c>
      <c r="E904" s="1092">
        <v>1</v>
      </c>
      <c r="F904" s="1124"/>
      <c r="G904" s="1124"/>
      <c r="H904" s="564">
        <f t="shared" si="47"/>
        <v>0</v>
      </c>
      <c r="I904" s="282">
        <f t="shared" si="47"/>
        <v>1</v>
      </c>
    </row>
    <row r="905" spans="2:9" ht="15" customHeight="1">
      <c r="B905" s="464" t="s">
        <v>3235</v>
      </c>
      <c r="C905" s="677" t="s">
        <v>3236</v>
      </c>
      <c r="D905" s="1092">
        <v>2</v>
      </c>
      <c r="E905" s="1092">
        <v>10</v>
      </c>
      <c r="F905" s="1124"/>
      <c r="G905" s="1124"/>
      <c r="H905" s="564">
        <f t="shared" si="47"/>
        <v>2</v>
      </c>
      <c r="I905" s="282">
        <f t="shared" si="47"/>
        <v>10</v>
      </c>
    </row>
    <row r="906" spans="2:9" ht="15" customHeight="1">
      <c r="B906" s="464" t="s">
        <v>3237</v>
      </c>
      <c r="C906" s="677" t="s">
        <v>3238</v>
      </c>
      <c r="D906" s="1092">
        <v>0</v>
      </c>
      <c r="E906" s="1092">
        <v>10</v>
      </c>
      <c r="F906" s="1124"/>
      <c r="G906" s="1124"/>
      <c r="H906" s="564">
        <v>32</v>
      </c>
      <c r="I906" s="282">
        <v>10</v>
      </c>
    </row>
    <row r="907" spans="2:9" ht="15" customHeight="1">
      <c r="B907" s="464" t="s">
        <v>3239</v>
      </c>
      <c r="C907" s="677" t="s">
        <v>3240</v>
      </c>
      <c r="D907" s="1092">
        <v>232</v>
      </c>
      <c r="E907" s="1092">
        <v>500</v>
      </c>
      <c r="F907" s="1124"/>
      <c r="G907" s="1124"/>
      <c r="H907" s="564">
        <v>594</v>
      </c>
      <c r="I907" s="282">
        <v>500</v>
      </c>
    </row>
    <row r="908" spans="2:9" ht="15" customHeight="1">
      <c r="B908" s="464" t="s">
        <v>3241</v>
      </c>
      <c r="C908" s="677" t="s">
        <v>3242</v>
      </c>
      <c r="D908" s="1092">
        <v>217</v>
      </c>
      <c r="E908" s="1092">
        <v>250</v>
      </c>
      <c r="F908" s="1124"/>
      <c r="G908" s="1124"/>
      <c r="H908" s="564">
        <v>382</v>
      </c>
      <c r="I908" s="282">
        <v>250</v>
      </c>
    </row>
    <row r="909" spans="2:9" ht="15" customHeight="1">
      <c r="B909" s="464" t="s">
        <v>3243</v>
      </c>
      <c r="C909" s="677" t="s">
        <v>3244</v>
      </c>
      <c r="D909" s="1092">
        <v>72</v>
      </c>
      <c r="E909" s="1092">
        <v>200</v>
      </c>
      <c r="F909" s="1124"/>
      <c r="G909" s="1124"/>
      <c r="H909" s="564">
        <v>222</v>
      </c>
      <c r="I909" s="282">
        <v>200</v>
      </c>
    </row>
    <row r="910" spans="2:9" ht="15" customHeight="1">
      <c r="B910" s="464" t="s">
        <v>3245</v>
      </c>
      <c r="C910" s="677" t="s">
        <v>3246</v>
      </c>
      <c r="D910" s="1092">
        <v>50</v>
      </c>
      <c r="E910" s="1092">
        <v>70</v>
      </c>
      <c r="F910" s="1124"/>
      <c r="G910" s="1124"/>
      <c r="H910" s="564">
        <v>67</v>
      </c>
      <c r="I910" s="282">
        <v>70</v>
      </c>
    </row>
    <row r="911" spans="2:9" ht="15" customHeight="1">
      <c r="B911" s="464" t="s">
        <v>3247</v>
      </c>
      <c r="C911" s="677" t="s">
        <v>3248</v>
      </c>
      <c r="D911" s="1092">
        <v>15</v>
      </c>
      <c r="E911" s="1092">
        <v>25</v>
      </c>
      <c r="F911" s="1124"/>
      <c r="G911" s="1124"/>
      <c r="H911" s="564">
        <f>D911+F911</f>
        <v>15</v>
      </c>
      <c r="I911" s="282">
        <f>E911+G911</f>
        <v>25</v>
      </c>
    </row>
    <row r="912" spans="2:9" ht="15" customHeight="1">
      <c r="B912" s="509" t="s">
        <v>2</v>
      </c>
      <c r="C912" s="445"/>
      <c r="D912" s="1093">
        <f>SUM(D896:D911)</f>
        <v>1513</v>
      </c>
      <c r="E912" s="1093">
        <f>SUM(E896:E911)</f>
        <v>2167</v>
      </c>
      <c r="F912" s="1093">
        <f>SUM(F896:F911)</f>
        <v>0</v>
      </c>
      <c r="G912" s="1093">
        <f>SUM(G896:G911)</f>
        <v>0</v>
      </c>
      <c r="H912" s="424">
        <f>D912+F912</f>
        <v>1513</v>
      </c>
      <c r="I912" s="424">
        <f>E912+G912</f>
        <v>2167</v>
      </c>
    </row>
    <row r="913" spans="2:9" ht="15" customHeight="1">
      <c r="B913" s="587"/>
      <c r="C913" s="588" t="s">
        <v>55</v>
      </c>
      <c r="D913" s="667"/>
      <c r="E913" s="526"/>
      <c r="F913" s="526"/>
      <c r="G913" s="526"/>
      <c r="H913" s="527"/>
      <c r="I913" s="527"/>
    </row>
    <row r="914" spans="2:9" ht="15" customHeight="1">
      <c r="B914" s="438"/>
      <c r="C914" s="578" t="s">
        <v>3155</v>
      </c>
      <c r="D914" s="440"/>
      <c r="E914" s="440"/>
      <c r="F914" s="440"/>
      <c r="G914" s="440"/>
      <c r="H914" s="440"/>
      <c r="I914" s="440"/>
    </row>
    <row r="915" spans="2:9" ht="15" customHeight="1">
      <c r="B915" s="668" t="s">
        <v>3156</v>
      </c>
      <c r="C915" s="638" t="s">
        <v>3157</v>
      </c>
      <c r="D915" s="669">
        <v>201</v>
      </c>
      <c r="E915" s="669">
        <v>200</v>
      </c>
      <c r="F915" s="669">
        <v>0</v>
      </c>
      <c r="G915" s="669">
        <v>0</v>
      </c>
      <c r="H915" s="282">
        <f t="shared" ref="H915:I961" si="48">D915+F915</f>
        <v>201</v>
      </c>
      <c r="I915" s="282">
        <f t="shared" si="48"/>
        <v>200</v>
      </c>
    </row>
    <row r="916" spans="2:9" ht="15" customHeight="1">
      <c r="B916" s="441">
        <v>320810</v>
      </c>
      <c r="C916" s="670" t="s">
        <v>3158</v>
      </c>
      <c r="D916" s="669">
        <v>85</v>
      </c>
      <c r="E916" s="669">
        <v>50</v>
      </c>
      <c r="F916" s="669">
        <v>0</v>
      </c>
      <c r="G916" s="669">
        <v>0</v>
      </c>
      <c r="H916" s="282">
        <f t="shared" si="48"/>
        <v>85</v>
      </c>
      <c r="I916" s="282">
        <f t="shared" si="48"/>
        <v>50</v>
      </c>
    </row>
    <row r="917" spans="2:9" ht="15" customHeight="1">
      <c r="B917" s="441">
        <v>320811</v>
      </c>
      <c r="C917" s="670" t="s">
        <v>3159</v>
      </c>
      <c r="D917" s="669">
        <v>496</v>
      </c>
      <c r="E917" s="669">
        <v>500</v>
      </c>
      <c r="F917" s="669">
        <v>0</v>
      </c>
      <c r="G917" s="669">
        <v>0</v>
      </c>
      <c r="H917" s="282">
        <f t="shared" si="48"/>
        <v>496</v>
      </c>
      <c r="I917" s="282">
        <f t="shared" si="48"/>
        <v>500</v>
      </c>
    </row>
    <row r="918" spans="2:9" ht="15" customHeight="1">
      <c r="B918" s="441">
        <v>600011</v>
      </c>
      <c r="C918" s="670" t="s">
        <v>3160</v>
      </c>
      <c r="D918" s="669">
        <v>457</v>
      </c>
      <c r="E918" s="669">
        <v>500</v>
      </c>
      <c r="F918" s="669">
        <v>0</v>
      </c>
      <c r="G918" s="669">
        <v>0</v>
      </c>
      <c r="H918" s="282">
        <f t="shared" si="48"/>
        <v>457</v>
      </c>
      <c r="I918" s="282">
        <f t="shared" si="48"/>
        <v>500</v>
      </c>
    </row>
    <row r="919" spans="2:9" ht="15" customHeight="1">
      <c r="B919" s="441">
        <v>600012</v>
      </c>
      <c r="C919" s="670" t="s">
        <v>3161</v>
      </c>
      <c r="D919" s="669">
        <v>11003</v>
      </c>
      <c r="E919" s="669">
        <v>11000</v>
      </c>
      <c r="F919" s="669">
        <v>2</v>
      </c>
      <c r="G919" s="669">
        <v>10</v>
      </c>
      <c r="H919" s="282">
        <f t="shared" si="48"/>
        <v>11005</v>
      </c>
      <c r="I919" s="282">
        <f t="shared" si="48"/>
        <v>11010</v>
      </c>
    </row>
    <row r="920" spans="2:9" ht="15.75" customHeight="1">
      <c r="B920" s="441">
        <v>600015</v>
      </c>
      <c r="C920" s="670" t="s">
        <v>3162</v>
      </c>
      <c r="D920" s="669">
        <v>5481</v>
      </c>
      <c r="E920" s="669">
        <v>6500</v>
      </c>
      <c r="F920" s="669">
        <v>10</v>
      </c>
      <c r="G920" s="669">
        <v>10</v>
      </c>
      <c r="H920" s="282">
        <f t="shared" si="48"/>
        <v>5491</v>
      </c>
      <c r="I920" s="282">
        <f t="shared" si="48"/>
        <v>6510</v>
      </c>
    </row>
    <row r="921" spans="2:9" ht="15.75" customHeight="1">
      <c r="B921" s="441">
        <v>600016</v>
      </c>
      <c r="C921" s="670" t="s">
        <v>3163</v>
      </c>
      <c r="D921" s="669">
        <v>5612</v>
      </c>
      <c r="E921" s="669">
        <v>6500</v>
      </c>
      <c r="F921" s="669">
        <v>13</v>
      </c>
      <c r="G921" s="669">
        <v>10</v>
      </c>
      <c r="H921" s="282">
        <f t="shared" si="48"/>
        <v>5625</v>
      </c>
      <c r="I921" s="282">
        <f t="shared" si="48"/>
        <v>6510</v>
      </c>
    </row>
    <row r="922" spans="2:9" ht="15" customHeight="1">
      <c r="B922" s="441">
        <v>600018</v>
      </c>
      <c r="C922" s="670" t="s">
        <v>3164</v>
      </c>
      <c r="D922" s="669">
        <v>1392</v>
      </c>
      <c r="E922" s="669">
        <v>1400</v>
      </c>
      <c r="F922" s="669">
        <v>0</v>
      </c>
      <c r="G922" s="669">
        <v>0</v>
      </c>
      <c r="H922" s="282">
        <f t="shared" si="48"/>
        <v>1392</v>
      </c>
      <c r="I922" s="282">
        <f t="shared" si="48"/>
        <v>1400</v>
      </c>
    </row>
    <row r="923" spans="2:9" ht="15" customHeight="1">
      <c r="B923" s="441">
        <v>600021</v>
      </c>
      <c r="C923" s="671" t="s">
        <v>3165</v>
      </c>
      <c r="D923" s="669">
        <v>60</v>
      </c>
      <c r="E923" s="669">
        <v>120</v>
      </c>
      <c r="F923" s="669">
        <v>0</v>
      </c>
      <c r="G923" s="669">
        <v>0</v>
      </c>
      <c r="H923" s="282">
        <f t="shared" si="48"/>
        <v>60</v>
      </c>
      <c r="I923" s="282">
        <f t="shared" si="48"/>
        <v>120</v>
      </c>
    </row>
    <row r="924" spans="2:9" ht="15" customHeight="1">
      <c r="B924" s="441">
        <v>600022</v>
      </c>
      <c r="C924" s="670" t="s">
        <v>3166</v>
      </c>
      <c r="D924" s="669">
        <v>3038</v>
      </c>
      <c r="E924" s="669">
        <v>3200</v>
      </c>
      <c r="F924" s="669">
        <v>0</v>
      </c>
      <c r="G924" s="669">
        <v>0</v>
      </c>
      <c r="H924" s="282">
        <f t="shared" si="48"/>
        <v>3038</v>
      </c>
      <c r="I924" s="282">
        <f t="shared" si="48"/>
        <v>3200</v>
      </c>
    </row>
    <row r="925" spans="2:9" ht="15" customHeight="1">
      <c r="B925" s="441">
        <v>600023</v>
      </c>
      <c r="C925" s="670" t="s">
        <v>3167</v>
      </c>
      <c r="D925" s="669">
        <v>21053</v>
      </c>
      <c r="E925" s="669">
        <v>21000</v>
      </c>
      <c r="F925" s="669">
        <v>18</v>
      </c>
      <c r="G925" s="669">
        <v>10</v>
      </c>
      <c r="H925" s="282">
        <f t="shared" si="48"/>
        <v>21071</v>
      </c>
      <c r="I925" s="282">
        <f t="shared" si="48"/>
        <v>21010</v>
      </c>
    </row>
    <row r="926" spans="2:9" ht="15" customHeight="1">
      <c r="B926" s="672">
        <v>600071</v>
      </c>
      <c r="C926" s="670" t="s">
        <v>3168</v>
      </c>
      <c r="D926" s="669">
        <v>3665</v>
      </c>
      <c r="E926" s="669">
        <v>4000</v>
      </c>
      <c r="F926" s="669">
        <v>2</v>
      </c>
      <c r="G926" s="669">
        <v>10</v>
      </c>
      <c r="H926" s="282">
        <f t="shared" si="48"/>
        <v>3667</v>
      </c>
      <c r="I926" s="282">
        <f t="shared" si="48"/>
        <v>4010</v>
      </c>
    </row>
    <row r="927" spans="2:9" ht="15" customHeight="1">
      <c r="B927" s="441">
        <v>600103</v>
      </c>
      <c r="C927" s="670" t="s">
        <v>3169</v>
      </c>
      <c r="D927" s="669">
        <v>1009</v>
      </c>
      <c r="E927" s="669">
        <v>1100</v>
      </c>
      <c r="F927" s="669">
        <v>362</v>
      </c>
      <c r="G927" s="669">
        <v>300</v>
      </c>
      <c r="H927" s="282">
        <f t="shared" si="48"/>
        <v>1371</v>
      </c>
      <c r="I927" s="282">
        <f t="shared" si="48"/>
        <v>1400</v>
      </c>
    </row>
    <row r="928" spans="2:9" ht="17.25" customHeight="1">
      <c r="B928" s="406">
        <v>600111</v>
      </c>
      <c r="C928" s="1088" t="s">
        <v>3170</v>
      </c>
      <c r="D928" s="669">
        <v>3356</v>
      </c>
      <c r="E928" s="669">
        <v>2500</v>
      </c>
      <c r="F928" s="669">
        <v>3</v>
      </c>
      <c r="G928" s="669">
        <v>10</v>
      </c>
      <c r="H928" s="282">
        <f t="shared" si="48"/>
        <v>3359</v>
      </c>
      <c r="I928" s="282">
        <f t="shared" si="48"/>
        <v>2510</v>
      </c>
    </row>
    <row r="929" spans="2:9" ht="15" customHeight="1">
      <c r="B929" s="441">
        <v>600112</v>
      </c>
      <c r="C929" s="670" t="s">
        <v>3171</v>
      </c>
      <c r="D929" s="669">
        <v>8353</v>
      </c>
      <c r="E929" s="669">
        <v>8100</v>
      </c>
      <c r="F929" s="669">
        <v>305</v>
      </c>
      <c r="G929" s="669">
        <v>250</v>
      </c>
      <c r="H929" s="282">
        <f t="shared" si="48"/>
        <v>8658</v>
      </c>
      <c r="I929" s="282">
        <f t="shared" si="48"/>
        <v>8350</v>
      </c>
    </row>
    <row r="930" spans="2:9" ht="15" customHeight="1">
      <c r="B930" s="441">
        <v>600114</v>
      </c>
      <c r="C930" s="670" t="s">
        <v>3172</v>
      </c>
      <c r="D930" s="669">
        <v>1591</v>
      </c>
      <c r="E930" s="669">
        <v>1700</v>
      </c>
      <c r="F930" s="669">
        <v>3</v>
      </c>
      <c r="G930" s="669">
        <v>10</v>
      </c>
      <c r="H930" s="282">
        <f t="shared" si="48"/>
        <v>1594</v>
      </c>
      <c r="I930" s="282">
        <f t="shared" si="48"/>
        <v>1710</v>
      </c>
    </row>
    <row r="931" spans="2:9" ht="15" customHeight="1">
      <c r="B931" s="441">
        <v>600115</v>
      </c>
      <c r="C931" s="670" t="s">
        <v>3173</v>
      </c>
      <c r="D931" s="669">
        <v>8544</v>
      </c>
      <c r="E931" s="669">
        <v>8500</v>
      </c>
      <c r="F931" s="669">
        <v>9</v>
      </c>
      <c r="G931" s="669">
        <v>10</v>
      </c>
      <c r="H931" s="282">
        <f t="shared" si="48"/>
        <v>8553</v>
      </c>
      <c r="I931" s="282">
        <f t="shared" si="48"/>
        <v>8510</v>
      </c>
    </row>
    <row r="932" spans="2:9" ht="15" customHeight="1">
      <c r="B932" s="441">
        <v>600120</v>
      </c>
      <c r="C932" s="670" t="s">
        <v>3174</v>
      </c>
      <c r="D932" s="669">
        <v>8394</v>
      </c>
      <c r="E932" s="669">
        <v>8100</v>
      </c>
      <c r="F932" s="669">
        <v>302</v>
      </c>
      <c r="G932" s="669">
        <v>250</v>
      </c>
      <c r="H932" s="282">
        <f t="shared" si="48"/>
        <v>8696</v>
      </c>
      <c r="I932" s="282">
        <f t="shared" si="48"/>
        <v>8350</v>
      </c>
    </row>
    <row r="933" spans="2:9" ht="15" customHeight="1">
      <c r="B933" s="441">
        <v>600122</v>
      </c>
      <c r="C933" s="670" t="s">
        <v>3175</v>
      </c>
      <c r="D933" s="669">
        <v>8678</v>
      </c>
      <c r="E933" s="669">
        <v>8500</v>
      </c>
      <c r="F933" s="669">
        <v>430</v>
      </c>
      <c r="G933" s="669">
        <v>300</v>
      </c>
      <c r="H933" s="282">
        <f t="shared" si="48"/>
        <v>9108</v>
      </c>
      <c r="I933" s="282">
        <f t="shared" si="48"/>
        <v>8800</v>
      </c>
    </row>
    <row r="934" spans="2:9" ht="15" customHeight="1">
      <c r="B934" s="441">
        <v>600123</v>
      </c>
      <c r="C934" s="670" t="s">
        <v>3176</v>
      </c>
      <c r="D934" s="669">
        <v>561</v>
      </c>
      <c r="E934" s="669">
        <v>550</v>
      </c>
      <c r="F934" s="669">
        <v>0</v>
      </c>
      <c r="G934" s="669">
        <v>0</v>
      </c>
      <c r="H934" s="282">
        <f t="shared" si="48"/>
        <v>561</v>
      </c>
      <c r="I934" s="282">
        <f t="shared" si="48"/>
        <v>550</v>
      </c>
    </row>
    <row r="935" spans="2:9" ht="15" customHeight="1">
      <c r="B935" s="441">
        <v>600124</v>
      </c>
      <c r="C935" s="670" t="s">
        <v>3177</v>
      </c>
      <c r="D935" s="669">
        <v>13286</v>
      </c>
      <c r="E935" s="669">
        <v>13000</v>
      </c>
      <c r="F935" s="669">
        <v>9</v>
      </c>
      <c r="G935" s="669">
        <v>10</v>
      </c>
      <c r="H935" s="282">
        <f t="shared" si="48"/>
        <v>13295</v>
      </c>
      <c r="I935" s="282">
        <f t="shared" si="48"/>
        <v>13010</v>
      </c>
    </row>
    <row r="936" spans="2:9" ht="16.5" customHeight="1">
      <c r="B936" s="441">
        <v>600169</v>
      </c>
      <c r="C936" s="670" t="s">
        <v>3178</v>
      </c>
      <c r="D936" s="669">
        <v>1502</v>
      </c>
      <c r="E936" s="669">
        <v>1400</v>
      </c>
      <c r="F936" s="669">
        <v>0</v>
      </c>
      <c r="G936" s="669">
        <v>0</v>
      </c>
      <c r="H936" s="282">
        <f t="shared" si="48"/>
        <v>1502</v>
      </c>
      <c r="I936" s="282">
        <f t="shared" si="48"/>
        <v>1400</v>
      </c>
    </row>
    <row r="937" spans="2:9" ht="15" customHeight="1">
      <c r="B937" s="441">
        <v>600173</v>
      </c>
      <c r="C937" s="670" t="s">
        <v>3179</v>
      </c>
      <c r="D937" s="669">
        <v>171</v>
      </c>
      <c r="E937" s="669">
        <v>180</v>
      </c>
      <c r="F937" s="669">
        <v>3</v>
      </c>
      <c r="G937" s="669">
        <v>10</v>
      </c>
      <c r="H937" s="282">
        <f t="shared" si="48"/>
        <v>174</v>
      </c>
      <c r="I937" s="282">
        <f t="shared" si="48"/>
        <v>190</v>
      </c>
    </row>
    <row r="938" spans="2:9" ht="15" customHeight="1">
      <c r="B938" s="441">
        <v>600348</v>
      </c>
      <c r="C938" s="670" t="s">
        <v>3180</v>
      </c>
      <c r="D938" s="669">
        <v>14475</v>
      </c>
      <c r="E938" s="669">
        <v>13500</v>
      </c>
      <c r="F938" s="669">
        <v>12</v>
      </c>
      <c r="G938" s="669">
        <v>10</v>
      </c>
      <c r="H938" s="282">
        <f t="shared" si="48"/>
        <v>14487</v>
      </c>
      <c r="I938" s="282">
        <f t="shared" si="48"/>
        <v>13510</v>
      </c>
    </row>
    <row r="939" spans="2:9" ht="15" customHeight="1">
      <c r="B939" s="441">
        <v>600349</v>
      </c>
      <c r="C939" s="670" t="s">
        <v>3181</v>
      </c>
      <c r="D939" s="669">
        <v>42</v>
      </c>
      <c r="E939" s="669">
        <v>30</v>
      </c>
      <c r="F939" s="669">
        <v>379</v>
      </c>
      <c r="G939" s="669">
        <v>350</v>
      </c>
      <c r="H939" s="282">
        <f t="shared" si="48"/>
        <v>421</v>
      </c>
      <c r="I939" s="282">
        <f t="shared" si="48"/>
        <v>380</v>
      </c>
    </row>
    <row r="940" spans="2:9" ht="15" customHeight="1">
      <c r="B940" s="441">
        <v>600351</v>
      </c>
      <c r="C940" s="670" t="s">
        <v>3182</v>
      </c>
      <c r="D940" s="669">
        <v>725</v>
      </c>
      <c r="E940" s="669">
        <v>700</v>
      </c>
      <c r="F940" s="669">
        <v>0</v>
      </c>
      <c r="G940" s="669">
        <v>0</v>
      </c>
      <c r="H940" s="282">
        <f t="shared" si="48"/>
        <v>725</v>
      </c>
      <c r="I940" s="282">
        <f t="shared" si="48"/>
        <v>700</v>
      </c>
    </row>
    <row r="941" spans="2:9" ht="15" customHeight="1">
      <c r="B941" s="441">
        <v>600803</v>
      </c>
      <c r="C941" s="670" t="s">
        <v>3183</v>
      </c>
      <c r="D941" s="669">
        <v>47</v>
      </c>
      <c r="E941" s="669">
        <v>30</v>
      </c>
      <c r="F941" s="669">
        <v>558</v>
      </c>
      <c r="G941" s="669">
        <v>500</v>
      </c>
      <c r="H941" s="282">
        <f t="shared" si="48"/>
        <v>605</v>
      </c>
      <c r="I941" s="282">
        <f t="shared" si="48"/>
        <v>530</v>
      </c>
    </row>
    <row r="942" spans="2:9" ht="15" customHeight="1">
      <c r="B942" s="406" t="s">
        <v>2787</v>
      </c>
      <c r="C942" s="1088" t="s">
        <v>2788</v>
      </c>
      <c r="D942" s="669">
        <v>21</v>
      </c>
      <c r="E942" s="669">
        <v>30</v>
      </c>
      <c r="F942" s="669">
        <v>0</v>
      </c>
      <c r="G942" s="669">
        <v>0</v>
      </c>
      <c r="H942" s="282">
        <f t="shared" si="48"/>
        <v>21</v>
      </c>
      <c r="I942" s="282">
        <f t="shared" si="48"/>
        <v>30</v>
      </c>
    </row>
    <row r="943" spans="2:9" ht="15" customHeight="1">
      <c r="B943" s="406" t="s">
        <v>3184</v>
      </c>
      <c r="C943" s="1088" t="s">
        <v>3144</v>
      </c>
      <c r="D943" s="669">
        <v>33</v>
      </c>
      <c r="E943" s="669">
        <v>30</v>
      </c>
      <c r="F943" s="669">
        <v>0</v>
      </c>
      <c r="G943" s="669">
        <v>0</v>
      </c>
      <c r="H943" s="282">
        <f t="shared" si="48"/>
        <v>33</v>
      </c>
      <c r="I943" s="282">
        <f t="shared" si="48"/>
        <v>30</v>
      </c>
    </row>
    <row r="944" spans="2:9" ht="15" customHeight="1">
      <c r="B944" s="406" t="s">
        <v>3185</v>
      </c>
      <c r="C944" s="1088" t="s">
        <v>3146</v>
      </c>
      <c r="D944" s="669">
        <v>13</v>
      </c>
      <c r="E944" s="669">
        <v>20</v>
      </c>
      <c r="F944" s="669">
        <v>0</v>
      </c>
      <c r="G944" s="669">
        <v>0</v>
      </c>
      <c r="H944" s="282">
        <f t="shared" si="48"/>
        <v>13</v>
      </c>
      <c r="I944" s="282">
        <f t="shared" si="48"/>
        <v>20</v>
      </c>
    </row>
    <row r="945" spans="2:9" ht="15" customHeight="1">
      <c r="B945" s="406" t="s">
        <v>3186</v>
      </c>
      <c r="C945" s="1088" t="s">
        <v>3187</v>
      </c>
      <c r="D945" s="669">
        <v>221</v>
      </c>
      <c r="E945" s="669">
        <v>250</v>
      </c>
      <c r="F945" s="669">
        <v>0</v>
      </c>
      <c r="G945" s="669">
        <v>0</v>
      </c>
      <c r="H945" s="282">
        <f t="shared" si="48"/>
        <v>221</v>
      </c>
      <c r="I945" s="282">
        <f t="shared" si="48"/>
        <v>250</v>
      </c>
    </row>
    <row r="946" spans="2:9" ht="15" customHeight="1">
      <c r="B946" s="406" t="s">
        <v>3188</v>
      </c>
      <c r="C946" s="1088" t="s">
        <v>3189</v>
      </c>
      <c r="D946" s="669">
        <v>231</v>
      </c>
      <c r="E946" s="669">
        <v>250</v>
      </c>
      <c r="F946" s="669">
        <v>0</v>
      </c>
      <c r="G946" s="669">
        <v>0</v>
      </c>
      <c r="H946" s="282">
        <f t="shared" si="48"/>
        <v>231</v>
      </c>
      <c r="I946" s="282">
        <f t="shared" si="48"/>
        <v>250</v>
      </c>
    </row>
    <row r="947" spans="2:9" ht="15" customHeight="1">
      <c r="B947" s="619" t="s">
        <v>3190</v>
      </c>
      <c r="C947" s="638" t="s">
        <v>3191</v>
      </c>
      <c r="D947" s="669">
        <v>1833</v>
      </c>
      <c r="E947" s="669">
        <v>1900</v>
      </c>
      <c r="F947" s="669">
        <v>11</v>
      </c>
      <c r="G947" s="669">
        <v>10</v>
      </c>
      <c r="H947" s="282">
        <f t="shared" si="48"/>
        <v>1844</v>
      </c>
      <c r="I947" s="282">
        <f t="shared" si="48"/>
        <v>1910</v>
      </c>
    </row>
    <row r="948" spans="2:9" ht="15" customHeight="1">
      <c r="B948" s="619" t="s">
        <v>3192</v>
      </c>
      <c r="C948" s="638" t="s">
        <v>3193</v>
      </c>
      <c r="D948" s="669">
        <v>624</v>
      </c>
      <c r="E948" s="669">
        <v>700</v>
      </c>
      <c r="F948" s="669">
        <v>0</v>
      </c>
      <c r="G948" s="669">
        <v>0</v>
      </c>
      <c r="H948" s="282">
        <f t="shared" si="48"/>
        <v>624</v>
      </c>
      <c r="I948" s="282">
        <f t="shared" si="48"/>
        <v>700</v>
      </c>
    </row>
    <row r="949" spans="2:9" ht="15" customHeight="1">
      <c r="B949" s="619" t="s">
        <v>3194</v>
      </c>
      <c r="C949" s="638" t="s">
        <v>3195</v>
      </c>
      <c r="D949" s="669">
        <v>6793</v>
      </c>
      <c r="E949" s="669">
        <v>6700</v>
      </c>
      <c r="F949" s="669">
        <v>8</v>
      </c>
      <c r="G949" s="669">
        <v>10</v>
      </c>
      <c r="H949" s="282">
        <f t="shared" si="48"/>
        <v>6801</v>
      </c>
      <c r="I949" s="282">
        <f t="shared" si="48"/>
        <v>6710</v>
      </c>
    </row>
    <row r="950" spans="2:9" ht="15" customHeight="1">
      <c r="B950" s="619" t="s">
        <v>3196</v>
      </c>
      <c r="C950" s="638" t="s">
        <v>3197</v>
      </c>
      <c r="D950" s="669">
        <v>4944</v>
      </c>
      <c r="E950" s="669">
        <v>4800</v>
      </c>
      <c r="F950" s="669">
        <v>13</v>
      </c>
      <c r="G950" s="669">
        <v>20</v>
      </c>
      <c r="H950" s="282">
        <f t="shared" si="48"/>
        <v>4957</v>
      </c>
      <c r="I950" s="282">
        <f t="shared" si="48"/>
        <v>4820</v>
      </c>
    </row>
    <row r="951" spans="2:9" ht="15" customHeight="1">
      <c r="B951" s="619" t="s">
        <v>3198</v>
      </c>
      <c r="C951" s="638" t="s">
        <v>3199</v>
      </c>
      <c r="D951" s="669">
        <v>907</v>
      </c>
      <c r="E951" s="669">
        <v>1000</v>
      </c>
      <c r="F951" s="669">
        <v>12</v>
      </c>
      <c r="G951" s="669">
        <v>20</v>
      </c>
      <c r="H951" s="282">
        <f t="shared" si="48"/>
        <v>919</v>
      </c>
      <c r="I951" s="282">
        <f t="shared" si="48"/>
        <v>1020</v>
      </c>
    </row>
    <row r="952" spans="2:9" ht="15" customHeight="1">
      <c r="B952" s="619" t="s">
        <v>3200</v>
      </c>
      <c r="C952" s="638" t="s">
        <v>3201</v>
      </c>
      <c r="D952" s="669">
        <v>3930</v>
      </c>
      <c r="E952" s="669">
        <v>3750</v>
      </c>
      <c r="F952" s="669">
        <v>6</v>
      </c>
      <c r="G952" s="669">
        <v>20</v>
      </c>
      <c r="H952" s="282">
        <f t="shared" si="48"/>
        <v>3936</v>
      </c>
      <c r="I952" s="282">
        <f t="shared" si="48"/>
        <v>3770</v>
      </c>
    </row>
    <row r="953" spans="2:9" ht="15" customHeight="1">
      <c r="B953" s="619" t="s">
        <v>3202</v>
      </c>
      <c r="C953" s="638" t="s">
        <v>3203</v>
      </c>
      <c r="D953" s="669">
        <v>776</v>
      </c>
      <c r="E953" s="669">
        <v>900</v>
      </c>
      <c r="F953" s="669">
        <v>490</v>
      </c>
      <c r="G953" s="669">
        <v>450</v>
      </c>
      <c r="H953" s="282">
        <f t="shared" si="48"/>
        <v>1266</v>
      </c>
      <c r="I953" s="282">
        <f t="shared" si="48"/>
        <v>1350</v>
      </c>
    </row>
    <row r="954" spans="2:9" ht="15" customHeight="1">
      <c r="B954" s="619" t="s">
        <v>3204</v>
      </c>
      <c r="C954" s="638" t="s">
        <v>3205</v>
      </c>
      <c r="D954" s="669">
        <v>4513</v>
      </c>
      <c r="E954" s="669">
        <v>4500</v>
      </c>
      <c r="F954" s="669">
        <v>437</v>
      </c>
      <c r="G954" s="669">
        <v>450</v>
      </c>
      <c r="H954" s="282">
        <f t="shared" si="48"/>
        <v>4950</v>
      </c>
      <c r="I954" s="282">
        <f t="shared" si="48"/>
        <v>4950</v>
      </c>
    </row>
    <row r="955" spans="2:9" ht="15" customHeight="1">
      <c r="B955" s="673" t="s">
        <v>3206</v>
      </c>
      <c r="C955" s="674" t="s">
        <v>3207</v>
      </c>
      <c r="D955" s="669">
        <v>2790</v>
      </c>
      <c r="E955" s="669">
        <v>2800</v>
      </c>
      <c r="F955" s="669">
        <v>359</v>
      </c>
      <c r="G955" s="669">
        <v>400</v>
      </c>
      <c r="H955" s="515">
        <f t="shared" si="48"/>
        <v>3149</v>
      </c>
      <c r="I955" s="515">
        <f t="shared" si="48"/>
        <v>3200</v>
      </c>
    </row>
    <row r="956" spans="2:9" ht="15" customHeight="1">
      <c r="B956" s="619" t="s">
        <v>3208</v>
      </c>
      <c r="C956" s="599" t="s">
        <v>3209</v>
      </c>
      <c r="D956" s="669">
        <v>2486</v>
      </c>
      <c r="E956" s="669">
        <v>2500</v>
      </c>
      <c r="F956" s="669">
        <v>310</v>
      </c>
      <c r="G956" s="669">
        <v>300</v>
      </c>
      <c r="H956" s="282">
        <f t="shared" si="48"/>
        <v>2796</v>
      </c>
      <c r="I956" s="282">
        <f t="shared" si="48"/>
        <v>2800</v>
      </c>
    </row>
    <row r="957" spans="2:9" ht="15" customHeight="1">
      <c r="B957" s="619" t="s">
        <v>3210</v>
      </c>
      <c r="C957" s="599" t="s">
        <v>3211</v>
      </c>
      <c r="D957" s="669">
        <v>735</v>
      </c>
      <c r="E957" s="669">
        <v>700</v>
      </c>
      <c r="F957" s="669">
        <v>434</v>
      </c>
      <c r="G957" s="669">
        <v>400</v>
      </c>
      <c r="H957" s="282">
        <f t="shared" si="48"/>
        <v>1169</v>
      </c>
      <c r="I957" s="282">
        <f t="shared" si="48"/>
        <v>1100</v>
      </c>
    </row>
    <row r="958" spans="2:9" ht="15" customHeight="1">
      <c r="B958" s="406" t="s">
        <v>3212</v>
      </c>
      <c r="C958" s="406" t="s">
        <v>3213</v>
      </c>
      <c r="D958" s="669">
        <v>729</v>
      </c>
      <c r="E958" s="669">
        <v>700</v>
      </c>
      <c r="F958" s="669">
        <v>391</v>
      </c>
      <c r="G958" s="669">
        <v>350</v>
      </c>
      <c r="H958" s="282">
        <f t="shared" si="48"/>
        <v>1120</v>
      </c>
      <c r="I958" s="282">
        <f t="shared" si="48"/>
        <v>1050</v>
      </c>
    </row>
    <row r="959" spans="2:9" ht="15" customHeight="1">
      <c r="B959" s="406" t="s">
        <v>3214</v>
      </c>
      <c r="C959" s="406" t="s">
        <v>3215</v>
      </c>
      <c r="D959" s="669">
        <v>5819</v>
      </c>
      <c r="E959" s="669">
        <v>5800</v>
      </c>
      <c r="F959" s="669">
        <v>18</v>
      </c>
      <c r="G959" s="669">
        <v>10</v>
      </c>
      <c r="H959" s="282">
        <f t="shared" si="48"/>
        <v>5837</v>
      </c>
      <c r="I959" s="282">
        <f t="shared" si="48"/>
        <v>5810</v>
      </c>
    </row>
    <row r="960" spans="2:9" ht="15" customHeight="1">
      <c r="B960" s="406" t="s">
        <v>3216</v>
      </c>
      <c r="C960" s="406" t="s">
        <v>2803</v>
      </c>
      <c r="D960" s="669">
        <v>1412</v>
      </c>
      <c r="E960" s="669">
        <v>1500</v>
      </c>
      <c r="F960" s="669">
        <v>8</v>
      </c>
      <c r="G960" s="669">
        <v>10</v>
      </c>
      <c r="H960" s="282">
        <f t="shared" si="48"/>
        <v>1420</v>
      </c>
      <c r="I960" s="282">
        <f t="shared" si="48"/>
        <v>1510</v>
      </c>
    </row>
    <row r="961" spans="2:9" ht="15" customHeight="1" thickBot="1">
      <c r="B961" s="509" t="s">
        <v>2</v>
      </c>
      <c r="C961" s="445"/>
      <c r="D961" s="423">
        <f>SUM(D915:D960)</f>
        <v>162087</v>
      </c>
      <c r="E961" s="423">
        <f>SUM(E915:E960)</f>
        <v>161690</v>
      </c>
      <c r="F961" s="423">
        <f>SUM(F915:F960)</f>
        <v>4917</v>
      </c>
      <c r="G961" s="423">
        <f>SUM(G915:G960)</f>
        <v>4510</v>
      </c>
      <c r="H961" s="424">
        <f t="shared" si="48"/>
        <v>167004</v>
      </c>
      <c r="I961" s="424">
        <f t="shared" si="48"/>
        <v>166200</v>
      </c>
    </row>
    <row r="962" spans="2:9" ht="15" customHeight="1">
      <c r="B962" s="1117"/>
      <c r="C962" s="1118" t="s">
        <v>55</v>
      </c>
      <c r="D962" s="1119"/>
      <c r="E962" s="1120"/>
      <c r="F962" s="1120"/>
      <c r="G962" s="1120"/>
      <c r="H962" s="1121"/>
      <c r="I962" s="1121"/>
    </row>
    <row r="963" spans="2:9" ht="15" customHeight="1">
      <c r="B963" s="678"/>
      <c r="C963" s="679" t="s">
        <v>3249</v>
      </c>
      <c r="D963" s="440"/>
      <c r="E963" s="440"/>
      <c r="F963" s="440"/>
      <c r="G963" s="440"/>
      <c r="H963" s="440"/>
      <c r="I963" s="440"/>
    </row>
    <row r="964" spans="2:9" ht="15" customHeight="1">
      <c r="B964" s="406" t="s">
        <v>3250</v>
      </c>
      <c r="C964" s="416" t="s">
        <v>3251</v>
      </c>
      <c r="D964" s="1124">
        <v>0</v>
      </c>
      <c r="E964" s="1124">
        <v>0</v>
      </c>
      <c r="F964" s="1124">
        <v>980</v>
      </c>
      <c r="G964" s="1124">
        <v>1000</v>
      </c>
      <c r="H964" s="564">
        <f t="shared" ref="H964:I986" si="49">D964+F964</f>
        <v>980</v>
      </c>
      <c r="I964" s="564">
        <f t="shared" si="49"/>
        <v>1000</v>
      </c>
    </row>
    <row r="965" spans="2:9" ht="15" customHeight="1">
      <c r="B965" s="406" t="s">
        <v>3252</v>
      </c>
      <c r="C965" s="416" t="s">
        <v>3253</v>
      </c>
      <c r="D965" s="1124">
        <v>0</v>
      </c>
      <c r="E965" s="1124">
        <v>0</v>
      </c>
      <c r="F965" s="1124">
        <v>65</v>
      </c>
      <c r="G965" s="1124">
        <v>50</v>
      </c>
      <c r="H965" s="564">
        <f t="shared" si="49"/>
        <v>65</v>
      </c>
      <c r="I965" s="564">
        <f t="shared" si="49"/>
        <v>50</v>
      </c>
    </row>
    <row r="966" spans="2:9" ht="15" customHeight="1">
      <c r="B966" s="406" t="s">
        <v>3254</v>
      </c>
      <c r="C966" s="416" t="s">
        <v>3255</v>
      </c>
      <c r="D966" s="1091">
        <v>0</v>
      </c>
      <c r="E966" s="1091">
        <v>0</v>
      </c>
      <c r="F966" s="1091">
        <v>0</v>
      </c>
      <c r="G966" s="1091">
        <v>0</v>
      </c>
      <c r="H966" s="564">
        <f t="shared" si="49"/>
        <v>0</v>
      </c>
      <c r="I966" s="564">
        <f t="shared" si="49"/>
        <v>0</v>
      </c>
    </row>
    <row r="967" spans="2:9" ht="15" customHeight="1">
      <c r="B967" s="406" t="s">
        <v>2113</v>
      </c>
      <c r="C967" s="416" t="s">
        <v>2114</v>
      </c>
      <c r="D967" s="1124">
        <v>1842</v>
      </c>
      <c r="E967" s="1124">
        <v>2000</v>
      </c>
      <c r="F967" s="1124">
        <v>0</v>
      </c>
      <c r="G967" s="1124">
        <v>0</v>
      </c>
      <c r="H967" s="564">
        <f t="shared" si="49"/>
        <v>1842</v>
      </c>
      <c r="I967" s="564">
        <f t="shared" si="49"/>
        <v>2000</v>
      </c>
    </row>
    <row r="968" spans="2:9" ht="15" customHeight="1">
      <c r="B968" s="406" t="s">
        <v>3256</v>
      </c>
      <c r="C968" s="416" t="s">
        <v>3257</v>
      </c>
      <c r="D968" s="1124">
        <v>0</v>
      </c>
      <c r="E968" s="1124">
        <v>0</v>
      </c>
      <c r="F968" s="1124">
        <v>0</v>
      </c>
      <c r="G968" s="1124">
        <v>0</v>
      </c>
      <c r="H968" s="564">
        <f t="shared" si="49"/>
        <v>0</v>
      </c>
      <c r="I968" s="564">
        <f t="shared" si="49"/>
        <v>0</v>
      </c>
    </row>
    <row r="969" spans="2:9" ht="15" customHeight="1">
      <c r="B969" s="406" t="s">
        <v>3258</v>
      </c>
      <c r="C969" s="416" t="s">
        <v>3259</v>
      </c>
      <c r="D969" s="1124">
        <v>0</v>
      </c>
      <c r="E969" s="1124">
        <v>0</v>
      </c>
      <c r="F969" s="1124">
        <v>115</v>
      </c>
      <c r="G969" s="1124">
        <v>150</v>
      </c>
      <c r="H969" s="564">
        <f t="shared" si="49"/>
        <v>115</v>
      </c>
      <c r="I969" s="564">
        <f t="shared" si="49"/>
        <v>150</v>
      </c>
    </row>
    <row r="970" spans="2:9" ht="15" customHeight="1">
      <c r="B970" s="637" t="s">
        <v>3260</v>
      </c>
      <c r="C970" s="680" t="s">
        <v>3261</v>
      </c>
      <c r="D970" s="1124">
        <v>1230</v>
      </c>
      <c r="E970" s="1124">
        <v>1200</v>
      </c>
      <c r="F970" s="1124">
        <v>580</v>
      </c>
      <c r="G970" s="1124">
        <v>600</v>
      </c>
      <c r="H970" s="564">
        <f t="shared" si="49"/>
        <v>1810</v>
      </c>
      <c r="I970" s="564">
        <f t="shared" si="49"/>
        <v>1800</v>
      </c>
    </row>
    <row r="971" spans="2:9" ht="15" customHeight="1">
      <c r="B971" s="637" t="s">
        <v>3262</v>
      </c>
      <c r="C971" s="680" t="s">
        <v>3263</v>
      </c>
      <c r="D971" s="1124">
        <v>1230</v>
      </c>
      <c r="E971" s="1124">
        <v>1200</v>
      </c>
      <c r="F971" s="1124">
        <v>580</v>
      </c>
      <c r="G971" s="1124">
        <v>600</v>
      </c>
      <c r="H971" s="564">
        <f t="shared" si="49"/>
        <v>1810</v>
      </c>
      <c r="I971" s="564">
        <f t="shared" si="49"/>
        <v>1800</v>
      </c>
    </row>
    <row r="972" spans="2:9" ht="15" customHeight="1">
      <c r="B972" s="637" t="s">
        <v>3264</v>
      </c>
      <c r="C972" s="680" t="s">
        <v>3265</v>
      </c>
      <c r="D972" s="1124">
        <v>482</v>
      </c>
      <c r="E972" s="1124">
        <v>250</v>
      </c>
      <c r="F972" s="1124">
        <v>0</v>
      </c>
      <c r="G972" s="1124">
        <v>0</v>
      </c>
      <c r="H972" s="564">
        <f t="shared" si="49"/>
        <v>482</v>
      </c>
      <c r="I972" s="564">
        <f t="shared" si="49"/>
        <v>250</v>
      </c>
    </row>
    <row r="973" spans="2:9" ht="15" customHeight="1">
      <c r="B973" s="637" t="s">
        <v>3266</v>
      </c>
      <c r="C973" s="680" t="s">
        <v>3267</v>
      </c>
      <c r="D973" s="1124">
        <v>1371</v>
      </c>
      <c r="E973" s="1124">
        <v>1500</v>
      </c>
      <c r="F973" s="1124">
        <v>870</v>
      </c>
      <c r="G973" s="1124">
        <v>1000</v>
      </c>
      <c r="H973" s="564">
        <f t="shared" si="49"/>
        <v>2241</v>
      </c>
      <c r="I973" s="564">
        <f t="shared" si="49"/>
        <v>2500</v>
      </c>
    </row>
    <row r="974" spans="2:9" ht="15" customHeight="1">
      <c r="B974" s="637" t="s">
        <v>3268</v>
      </c>
      <c r="C974" s="680" t="s">
        <v>3269</v>
      </c>
      <c r="D974" s="1124">
        <v>860</v>
      </c>
      <c r="E974" s="1124">
        <v>1000</v>
      </c>
      <c r="F974" s="1124">
        <v>1910</v>
      </c>
      <c r="G974" s="1124">
        <v>2000</v>
      </c>
      <c r="H974" s="564">
        <f t="shared" si="49"/>
        <v>2770</v>
      </c>
      <c r="I974" s="564">
        <f t="shared" si="49"/>
        <v>3000</v>
      </c>
    </row>
    <row r="975" spans="2:9" ht="15" customHeight="1">
      <c r="B975" s="637" t="s">
        <v>3270</v>
      </c>
      <c r="C975" s="680" t="s">
        <v>3271</v>
      </c>
      <c r="D975" s="1124">
        <v>860</v>
      </c>
      <c r="E975" s="1124">
        <v>1000</v>
      </c>
      <c r="F975" s="1124">
        <v>2553</v>
      </c>
      <c r="G975" s="1124">
        <v>2500</v>
      </c>
      <c r="H975" s="564">
        <f t="shared" si="49"/>
        <v>3413</v>
      </c>
      <c r="I975" s="564">
        <f t="shared" si="49"/>
        <v>3500</v>
      </c>
    </row>
    <row r="976" spans="2:9" ht="15" customHeight="1">
      <c r="B976" s="637" t="s">
        <v>3272</v>
      </c>
      <c r="C976" s="680" t="s">
        <v>3273</v>
      </c>
      <c r="D976" s="1124">
        <v>860</v>
      </c>
      <c r="E976" s="1124">
        <v>1000</v>
      </c>
      <c r="F976" s="1124">
        <v>2553</v>
      </c>
      <c r="G976" s="1124">
        <v>2500</v>
      </c>
      <c r="H976" s="564">
        <f t="shared" si="49"/>
        <v>3413</v>
      </c>
      <c r="I976" s="564">
        <f t="shared" si="49"/>
        <v>3500</v>
      </c>
    </row>
    <row r="977" spans="2:9" ht="15" customHeight="1">
      <c r="B977" s="637" t="s">
        <v>3274</v>
      </c>
      <c r="C977" s="680" t="s">
        <v>3275</v>
      </c>
      <c r="D977" s="1124">
        <v>0</v>
      </c>
      <c r="E977" s="1124">
        <v>0</v>
      </c>
      <c r="F977" s="1124">
        <v>2041</v>
      </c>
      <c r="G977" s="1124">
        <v>2000</v>
      </c>
      <c r="H977" s="564">
        <f t="shared" si="49"/>
        <v>2041</v>
      </c>
      <c r="I977" s="564">
        <f t="shared" si="49"/>
        <v>2000</v>
      </c>
    </row>
    <row r="978" spans="2:9" ht="15" customHeight="1">
      <c r="B978" s="637" t="s">
        <v>3276</v>
      </c>
      <c r="C978" s="681" t="s">
        <v>3277</v>
      </c>
      <c r="D978" s="1124">
        <v>0</v>
      </c>
      <c r="E978" s="1124">
        <v>0</v>
      </c>
      <c r="F978" s="1124">
        <v>0</v>
      </c>
      <c r="G978" s="1124">
        <v>1</v>
      </c>
      <c r="H978" s="564">
        <f t="shared" si="49"/>
        <v>0</v>
      </c>
      <c r="I978" s="564">
        <f t="shared" si="49"/>
        <v>1</v>
      </c>
    </row>
    <row r="979" spans="2:9" ht="15" customHeight="1">
      <c r="B979" s="619" t="s">
        <v>3278</v>
      </c>
      <c r="C979" s="680" t="s">
        <v>3279</v>
      </c>
      <c r="D979" s="1124">
        <v>1</v>
      </c>
      <c r="E979" s="1124">
        <v>5</v>
      </c>
      <c r="F979" s="1124">
        <v>1913</v>
      </c>
      <c r="G979" s="1124">
        <v>2000</v>
      </c>
      <c r="H979" s="564">
        <f t="shared" si="49"/>
        <v>1914</v>
      </c>
      <c r="I979" s="564">
        <f t="shared" si="49"/>
        <v>2005</v>
      </c>
    </row>
    <row r="980" spans="2:9" ht="15" customHeight="1">
      <c r="B980" s="637" t="s">
        <v>3280</v>
      </c>
      <c r="C980" s="680" t="s">
        <v>3281</v>
      </c>
      <c r="D980" s="1124">
        <v>409</v>
      </c>
      <c r="E980" s="1124">
        <v>400</v>
      </c>
      <c r="F980" s="1124">
        <v>4471</v>
      </c>
      <c r="G980" s="1124">
        <v>4500</v>
      </c>
      <c r="H980" s="564">
        <f t="shared" si="49"/>
        <v>4880</v>
      </c>
      <c r="I980" s="564">
        <f t="shared" si="49"/>
        <v>4900</v>
      </c>
    </row>
    <row r="981" spans="2:9" ht="15" customHeight="1">
      <c r="B981" s="637" t="s">
        <v>3282</v>
      </c>
      <c r="C981" s="680" t="s">
        <v>3283</v>
      </c>
      <c r="D981" s="1124">
        <v>120</v>
      </c>
      <c r="E981" s="1124">
        <v>150</v>
      </c>
      <c r="F981" s="1124">
        <v>1766</v>
      </c>
      <c r="G981" s="1124">
        <v>1800</v>
      </c>
      <c r="H981" s="564">
        <f t="shared" si="49"/>
        <v>1886</v>
      </c>
      <c r="I981" s="564">
        <f t="shared" si="49"/>
        <v>1950</v>
      </c>
    </row>
    <row r="982" spans="2:9" ht="15" customHeight="1">
      <c r="B982" s="637" t="s">
        <v>3284</v>
      </c>
      <c r="C982" s="680" t="s">
        <v>3285</v>
      </c>
      <c r="D982" s="1124">
        <v>0</v>
      </c>
      <c r="E982" s="1124">
        <v>5</v>
      </c>
      <c r="F982" s="1124">
        <v>0</v>
      </c>
      <c r="G982" s="1124">
        <v>5</v>
      </c>
      <c r="H982" s="564">
        <f t="shared" si="49"/>
        <v>0</v>
      </c>
      <c r="I982" s="564">
        <f t="shared" si="49"/>
        <v>10</v>
      </c>
    </row>
    <row r="983" spans="2:9" ht="15" customHeight="1">
      <c r="B983" s="637" t="s">
        <v>3286</v>
      </c>
      <c r="C983" s="680" t="s">
        <v>3287</v>
      </c>
      <c r="D983" s="1124">
        <v>0</v>
      </c>
      <c r="E983" s="1124">
        <v>5</v>
      </c>
      <c r="F983" s="1124">
        <v>0</v>
      </c>
      <c r="G983" s="1124">
        <v>5</v>
      </c>
      <c r="H983" s="564">
        <f t="shared" si="49"/>
        <v>0</v>
      </c>
      <c r="I983" s="564">
        <f t="shared" si="49"/>
        <v>10</v>
      </c>
    </row>
    <row r="984" spans="2:9" ht="15" customHeight="1">
      <c r="B984" s="637" t="s">
        <v>3288</v>
      </c>
      <c r="C984" s="680" t="s">
        <v>3289</v>
      </c>
      <c r="D984" s="1124">
        <v>0</v>
      </c>
      <c r="E984" s="1124">
        <v>5</v>
      </c>
      <c r="F984" s="1124">
        <v>0</v>
      </c>
      <c r="G984" s="1124">
        <v>5</v>
      </c>
      <c r="H984" s="564">
        <f t="shared" si="49"/>
        <v>0</v>
      </c>
      <c r="I984" s="564">
        <f t="shared" si="49"/>
        <v>10</v>
      </c>
    </row>
    <row r="985" spans="2:9" ht="15" customHeight="1">
      <c r="B985" s="637" t="s">
        <v>3290</v>
      </c>
      <c r="C985" s="680" t="s">
        <v>3291</v>
      </c>
      <c r="D985" s="1124">
        <v>0</v>
      </c>
      <c r="E985" s="1124">
        <v>5</v>
      </c>
      <c r="F985" s="1124">
        <v>0</v>
      </c>
      <c r="G985" s="1124">
        <v>5</v>
      </c>
      <c r="H985" s="564">
        <f t="shared" si="49"/>
        <v>0</v>
      </c>
      <c r="I985" s="564">
        <f t="shared" si="49"/>
        <v>10</v>
      </c>
    </row>
    <row r="986" spans="2:9" ht="15" customHeight="1">
      <c r="B986" s="509" t="s">
        <v>2</v>
      </c>
      <c r="C986" s="445"/>
      <c r="D986" s="492">
        <f>SUM(D964:D985)</f>
        <v>9265</v>
      </c>
      <c r="E986" s="492">
        <f>SUM(E964:E985)</f>
        <v>9725</v>
      </c>
      <c r="F986" s="492">
        <f>SUM(F964:F985)</f>
        <v>20397</v>
      </c>
      <c r="G986" s="492">
        <f>SUM(G964:G985)</f>
        <v>20721</v>
      </c>
      <c r="H986" s="424">
        <f t="shared" si="49"/>
        <v>29662</v>
      </c>
      <c r="I986" s="424">
        <f t="shared" si="49"/>
        <v>30446</v>
      </c>
    </row>
    <row r="987" spans="2:9" ht="15" customHeight="1">
      <c r="B987" s="104" t="s">
        <v>235</v>
      </c>
      <c r="C987" s="112"/>
      <c r="D987" s="112"/>
      <c r="E987" s="112"/>
      <c r="F987" s="112"/>
      <c r="G987" s="112"/>
      <c r="H987" s="112"/>
      <c r="I987" s="296"/>
    </row>
    <row r="988" spans="2:9" ht="15" customHeight="1">
      <c r="B988" s="216" t="s">
        <v>146</v>
      </c>
      <c r="C988" s="317" t="s">
        <v>147</v>
      </c>
      <c r="D988" s="317"/>
      <c r="E988" s="317"/>
      <c r="F988" s="318"/>
      <c r="G988" s="318"/>
      <c r="H988" s="319"/>
      <c r="I988" s="318"/>
    </row>
    <row r="989" spans="2:9" ht="15" customHeight="1">
      <c r="B989" s="216" t="s">
        <v>148</v>
      </c>
      <c r="C989" s="317" t="s">
        <v>149</v>
      </c>
      <c r="D989" s="317"/>
      <c r="E989" s="317"/>
      <c r="F989" s="318"/>
      <c r="G989" s="318"/>
      <c r="H989" s="319"/>
      <c r="I989" s="318"/>
    </row>
    <row r="990" spans="2:9" ht="15" customHeight="1">
      <c r="B990" s="216" t="s">
        <v>150</v>
      </c>
      <c r="C990" s="317" t="s">
        <v>161</v>
      </c>
      <c r="D990" s="317"/>
      <c r="E990" s="317"/>
      <c r="F990" s="318"/>
      <c r="G990" s="318"/>
      <c r="H990" s="319"/>
      <c r="I990" s="318"/>
    </row>
    <row r="991" spans="2:9" ht="15" customHeight="1">
      <c r="B991" s="216" t="s">
        <v>151</v>
      </c>
      <c r="C991" s="317" t="s">
        <v>152</v>
      </c>
      <c r="D991" s="317"/>
      <c r="E991" s="317"/>
      <c r="F991" s="318"/>
      <c r="G991" s="318"/>
      <c r="H991" s="319"/>
      <c r="I991" s="318"/>
    </row>
    <row r="992" spans="2:9" ht="15" customHeight="1">
      <c r="B992" s="216" t="s">
        <v>153</v>
      </c>
      <c r="C992" s="317" t="s">
        <v>154</v>
      </c>
      <c r="D992" s="317"/>
      <c r="E992" s="317"/>
      <c r="F992" s="318"/>
      <c r="G992" s="318"/>
      <c r="H992" s="319"/>
      <c r="I992" s="318"/>
    </row>
    <row r="993" spans="2:9" ht="15" customHeight="1">
      <c r="B993" s="216" t="s">
        <v>155</v>
      </c>
      <c r="C993" s="317" t="s">
        <v>160</v>
      </c>
      <c r="D993" s="317"/>
      <c r="E993" s="317"/>
      <c r="F993" s="318"/>
      <c r="G993" s="318"/>
      <c r="H993" s="319"/>
      <c r="I993" s="318"/>
    </row>
    <row r="994" spans="2:9" ht="15" customHeight="1">
      <c r="B994" s="216" t="s">
        <v>3292</v>
      </c>
      <c r="C994" s="317" t="s">
        <v>3293</v>
      </c>
      <c r="D994" s="317"/>
      <c r="E994" s="317"/>
      <c r="F994" s="318"/>
      <c r="G994" s="318"/>
      <c r="H994" s="319"/>
      <c r="I994" s="318"/>
    </row>
    <row r="995" spans="2:9" ht="15" customHeight="1">
      <c r="B995" s="216" t="s">
        <v>156</v>
      </c>
      <c r="C995" s="317" t="s">
        <v>157</v>
      </c>
      <c r="D995" s="317"/>
      <c r="E995" s="317"/>
      <c r="F995" s="318"/>
      <c r="G995" s="318"/>
      <c r="H995" s="319"/>
      <c r="I995" s="318"/>
    </row>
    <row r="996" spans="2:9" ht="15" customHeight="1">
      <c r="B996" s="216" t="s">
        <v>3294</v>
      </c>
      <c r="C996" s="317" t="s">
        <v>3295</v>
      </c>
      <c r="D996" s="317"/>
      <c r="E996" s="317"/>
      <c r="F996" s="318"/>
      <c r="G996" s="318"/>
      <c r="H996" s="319"/>
      <c r="I996" s="318"/>
    </row>
    <row r="997" spans="2:9" ht="15.75" customHeight="1">
      <c r="B997" s="216" t="s">
        <v>3296</v>
      </c>
      <c r="C997" s="317" t="s">
        <v>3297</v>
      </c>
      <c r="D997" s="317"/>
      <c r="E997" s="317"/>
      <c r="F997" s="318"/>
      <c r="G997" s="318"/>
      <c r="H997" s="319"/>
      <c r="I997" s="318"/>
    </row>
    <row r="998" spans="2:9" ht="15" customHeight="1">
      <c r="B998" s="216" t="s">
        <v>158</v>
      </c>
      <c r="C998" s="317" t="s">
        <v>159</v>
      </c>
      <c r="D998" s="317"/>
      <c r="E998" s="317"/>
      <c r="F998" s="318"/>
      <c r="G998" s="318"/>
      <c r="H998" s="319"/>
      <c r="I998" s="318"/>
    </row>
    <row r="999" spans="2:9" ht="15" customHeight="1">
      <c r="B999" s="216" t="s">
        <v>3298</v>
      </c>
      <c r="C999" s="317" t="s">
        <v>3299</v>
      </c>
      <c r="D999" s="317"/>
      <c r="E999" s="317"/>
      <c r="F999" s="318"/>
      <c r="G999" s="318"/>
      <c r="H999" s="319"/>
      <c r="I999" s="318"/>
    </row>
    <row r="1000" spans="2:9" ht="15" customHeight="1">
      <c r="B1000" s="104" t="s">
        <v>236</v>
      </c>
      <c r="C1000" s="113"/>
      <c r="D1000" s="113"/>
      <c r="E1000" s="113"/>
      <c r="F1000" s="295"/>
      <c r="G1000" s="295"/>
      <c r="H1000" s="319"/>
      <c r="I1000" s="295"/>
    </row>
    <row r="1001" spans="2:9" ht="15" customHeight="1">
      <c r="B1001" s="314" t="s">
        <v>232</v>
      </c>
      <c r="C1001" s="330"/>
      <c r="D1001" s="317"/>
      <c r="E1001" s="317"/>
      <c r="F1001" s="318"/>
      <c r="G1001" s="318"/>
      <c r="H1001" s="319"/>
      <c r="I1001" s="318"/>
    </row>
    <row r="1002" spans="2:9" ht="15" customHeight="1">
      <c r="B1002" s="1877"/>
      <c r="C1002" s="1878"/>
      <c r="D1002" s="1878"/>
      <c r="E1002" s="1878"/>
      <c r="F1002" s="1878"/>
      <c r="G1002" s="1878"/>
      <c r="H1002" s="1878"/>
      <c r="I1002" s="1878"/>
    </row>
    <row r="1003" spans="2:9">
      <c r="E1003" s="1101"/>
      <c r="G1003" s="1101"/>
    </row>
    <row r="1004" spans="2:9">
      <c r="E1004" s="1101"/>
      <c r="G1004" s="1101"/>
    </row>
    <row r="1005" spans="2:9">
      <c r="E1005" s="1101"/>
      <c r="G1005" s="1101"/>
    </row>
    <row r="1006" spans="2:9">
      <c r="E1006" s="1101"/>
      <c r="G1006" s="1101"/>
    </row>
    <row r="1007" spans="2:9">
      <c r="E1007" s="1101"/>
      <c r="G1007" s="1101"/>
    </row>
    <row r="1008" spans="2:9">
      <c r="E1008" s="1101"/>
      <c r="G1008" s="1101"/>
    </row>
    <row r="1009" spans="5:7">
      <c r="E1009" s="1101"/>
      <c r="G1009" s="1101"/>
    </row>
    <row r="1010" spans="5:7">
      <c r="E1010" s="1101"/>
      <c r="G1010" s="1101"/>
    </row>
    <row r="1011" spans="5:7">
      <c r="E1011" s="1101"/>
      <c r="G1011" s="1101"/>
    </row>
    <row r="1012" spans="5:7">
      <c r="E1012" s="1101"/>
      <c r="G1012" s="1101"/>
    </row>
    <row r="1013" spans="5:7">
      <c r="E1013" s="1101"/>
      <c r="G1013" s="1101"/>
    </row>
    <row r="1014" spans="5:7">
      <c r="E1014" s="1101"/>
      <c r="G1014" s="1101"/>
    </row>
    <row r="1015" spans="5:7">
      <c r="E1015" s="1101"/>
      <c r="G1015" s="1101"/>
    </row>
    <row r="1016" spans="5:7">
      <c r="E1016" s="1101"/>
      <c r="G1016" s="1101"/>
    </row>
    <row r="1017" spans="5:7">
      <c r="E1017" s="1101"/>
      <c r="G1017" s="1101"/>
    </row>
    <row r="1018" spans="5:7">
      <c r="E1018" s="1101"/>
      <c r="G1018" s="1101"/>
    </row>
    <row r="1019" spans="5:7">
      <c r="E1019" s="1101"/>
      <c r="G1019" s="1101"/>
    </row>
    <row r="1020" spans="5:7">
      <c r="E1020" s="1101"/>
      <c r="G1020" s="1101"/>
    </row>
    <row r="1021" spans="5:7">
      <c r="E1021" s="1101"/>
      <c r="G1021" s="1101"/>
    </row>
    <row r="1022" spans="5:7">
      <c r="E1022" s="1101"/>
      <c r="G1022" s="1101"/>
    </row>
    <row r="1023" spans="5:7">
      <c r="E1023" s="1101"/>
      <c r="G1023" s="1101"/>
    </row>
    <row r="1024" spans="5:7">
      <c r="E1024" s="1101"/>
      <c r="G1024" s="1101"/>
    </row>
    <row r="1025" spans="5:7">
      <c r="E1025" s="1101"/>
      <c r="G1025" s="1101"/>
    </row>
    <row r="1026" spans="5:7">
      <c r="E1026" s="1101"/>
      <c r="G1026" s="1101"/>
    </row>
    <row r="1027" spans="5:7">
      <c r="E1027" s="1101"/>
      <c r="G1027" s="1101"/>
    </row>
    <row r="1028" spans="5:7">
      <c r="E1028" s="1101"/>
      <c r="G1028" s="1101"/>
    </row>
    <row r="1029" spans="5:7">
      <c r="E1029" s="1101"/>
      <c r="G1029" s="1101"/>
    </row>
    <row r="1030" spans="5:7">
      <c r="E1030" s="1101"/>
      <c r="G1030" s="1101"/>
    </row>
    <row r="1031" spans="5:7">
      <c r="E1031" s="1101"/>
      <c r="G1031" s="1101"/>
    </row>
    <row r="1032" spans="5:7">
      <c r="E1032" s="1101"/>
      <c r="G1032" s="1101"/>
    </row>
    <row r="1033" spans="5:7">
      <c r="E1033" s="1101"/>
      <c r="G1033" s="1101"/>
    </row>
    <row r="1034" spans="5:7">
      <c r="E1034" s="1101"/>
      <c r="G1034" s="1101"/>
    </row>
    <row r="1035" spans="5:7">
      <c r="E1035" s="1101"/>
      <c r="G1035" s="1101"/>
    </row>
    <row r="1036" spans="5:7">
      <c r="E1036" s="1101"/>
      <c r="G1036" s="1101"/>
    </row>
    <row r="1037" spans="5:7">
      <c r="E1037" s="1101"/>
      <c r="G1037" s="1101"/>
    </row>
    <row r="1038" spans="5:7">
      <c r="E1038" s="1101"/>
      <c r="G1038" s="1101"/>
    </row>
    <row r="1039" spans="5:7">
      <c r="E1039" s="1101"/>
      <c r="G1039" s="1101"/>
    </row>
    <row r="1040" spans="5:7">
      <c r="E1040" s="1101"/>
      <c r="G1040" s="1101"/>
    </row>
    <row r="1041" spans="5:7">
      <c r="E1041" s="1101"/>
      <c r="G1041" s="1101"/>
    </row>
    <row r="1042" spans="5:7">
      <c r="E1042" s="1101"/>
      <c r="G1042" s="1101"/>
    </row>
    <row r="1043" spans="5:7">
      <c r="E1043" s="1101"/>
      <c r="G1043" s="1101"/>
    </row>
    <row r="1044" spans="5:7">
      <c r="E1044" s="1101"/>
      <c r="G1044" s="1101"/>
    </row>
    <row r="1045" spans="5:7">
      <c r="E1045" s="1101"/>
      <c r="G1045" s="1101"/>
    </row>
    <row r="1046" spans="5:7">
      <c r="E1046" s="1101"/>
      <c r="G1046" s="1101"/>
    </row>
    <row r="1047" spans="5:7">
      <c r="E1047" s="1101"/>
      <c r="G1047" s="1101"/>
    </row>
    <row r="1048" spans="5:7">
      <c r="E1048" s="1101"/>
      <c r="G1048" s="1101"/>
    </row>
    <row r="1049" spans="5:7">
      <c r="E1049" s="1101"/>
      <c r="G1049" s="1101"/>
    </row>
    <row r="1050" spans="5:7">
      <c r="E1050" s="1101"/>
      <c r="G1050" s="1101"/>
    </row>
    <row r="1051" spans="5:7">
      <c r="E1051" s="1101"/>
      <c r="G1051" s="1101"/>
    </row>
    <row r="1052" spans="5:7">
      <c r="E1052" s="1101"/>
      <c r="G1052" s="1101"/>
    </row>
    <row r="1053" spans="5:7">
      <c r="E1053" s="1101"/>
      <c r="G1053" s="1101"/>
    </row>
    <row r="1054" spans="5:7">
      <c r="E1054" s="1101"/>
      <c r="G1054" s="1101"/>
    </row>
    <row r="1055" spans="5:7">
      <c r="E1055" s="1101"/>
      <c r="G1055" s="1101"/>
    </row>
    <row r="1056" spans="5:7">
      <c r="E1056" s="1101"/>
      <c r="G1056" s="1101"/>
    </row>
    <row r="1057" spans="5:7">
      <c r="E1057" s="1101"/>
      <c r="G1057" s="1101"/>
    </row>
    <row r="1058" spans="5:7">
      <c r="E1058" s="1101"/>
      <c r="G1058" s="1101"/>
    </row>
    <row r="1059" spans="5:7">
      <c r="E1059" s="1101"/>
      <c r="G1059" s="1101"/>
    </row>
    <row r="1060" spans="5:7">
      <c r="E1060" s="1101"/>
      <c r="G1060" s="1101"/>
    </row>
    <row r="1061" spans="5:7">
      <c r="E1061" s="1101"/>
      <c r="G1061" s="1101"/>
    </row>
    <row r="1062" spans="5:7">
      <c r="E1062" s="1101"/>
      <c r="G1062" s="1101"/>
    </row>
    <row r="1063" spans="5:7">
      <c r="E1063" s="1101"/>
      <c r="G1063" s="1101"/>
    </row>
    <row r="1064" spans="5:7">
      <c r="E1064" s="1101"/>
      <c r="G1064" s="1101"/>
    </row>
    <row r="1065" spans="5:7">
      <c r="E1065" s="1101"/>
      <c r="G1065" s="1101"/>
    </row>
    <row r="1066" spans="5:7">
      <c r="E1066" s="1101"/>
      <c r="G1066" s="1101"/>
    </row>
    <row r="1067" spans="5:7">
      <c r="E1067" s="1101"/>
      <c r="G1067" s="1101"/>
    </row>
    <row r="1068" spans="5:7">
      <c r="E1068" s="1101"/>
      <c r="G1068" s="1101"/>
    </row>
    <row r="1069" spans="5:7">
      <c r="E1069" s="1101"/>
      <c r="G1069" s="1101"/>
    </row>
    <row r="1070" spans="5:7">
      <c r="E1070" s="1101"/>
      <c r="G1070" s="1101"/>
    </row>
    <row r="1071" spans="5:7">
      <c r="E1071" s="1101"/>
      <c r="G1071" s="1101"/>
    </row>
    <row r="1072" spans="5:7">
      <c r="E1072" s="1101"/>
      <c r="G1072" s="1101"/>
    </row>
    <row r="1073" spans="5:7">
      <c r="E1073" s="1101"/>
      <c r="G1073" s="1101"/>
    </row>
    <row r="1074" spans="5:7">
      <c r="E1074" s="1101"/>
      <c r="G1074" s="1101"/>
    </row>
    <row r="1075" spans="5:7">
      <c r="E1075" s="1101"/>
      <c r="G1075" s="1101"/>
    </row>
    <row r="1076" spans="5:7">
      <c r="E1076" s="1101"/>
      <c r="G1076" s="1101"/>
    </row>
    <row r="1077" spans="5:7">
      <c r="E1077" s="1101"/>
      <c r="G1077" s="1101"/>
    </row>
    <row r="1078" spans="5:7">
      <c r="E1078" s="1101"/>
      <c r="G1078" s="1101"/>
    </row>
    <row r="1079" spans="5:7">
      <c r="E1079" s="1101"/>
      <c r="G1079" s="1101"/>
    </row>
    <row r="1080" spans="5:7">
      <c r="E1080" s="1101"/>
      <c r="G1080" s="1101"/>
    </row>
    <row r="1081" spans="5:7">
      <c r="E1081" s="1101"/>
      <c r="G1081" s="1101"/>
    </row>
    <row r="1082" spans="5:7">
      <c r="E1082" s="1101"/>
      <c r="G1082" s="1101"/>
    </row>
    <row r="1083" spans="5:7">
      <c r="E1083" s="1101"/>
      <c r="G1083" s="1101"/>
    </row>
    <row r="1084" spans="5:7">
      <c r="E1084" s="1101"/>
      <c r="G1084" s="1101"/>
    </row>
    <row r="1085" spans="5:7">
      <c r="E1085" s="1101"/>
      <c r="G1085" s="1101"/>
    </row>
    <row r="1086" spans="5:7">
      <c r="E1086" s="1101"/>
      <c r="G1086" s="1101"/>
    </row>
    <row r="1087" spans="5:7">
      <c r="E1087" s="1101"/>
      <c r="G1087" s="1101"/>
    </row>
    <row r="1088" spans="5:7">
      <c r="E1088" s="1101"/>
      <c r="G1088" s="1101"/>
    </row>
    <row r="1089" spans="5:7">
      <c r="E1089" s="1101"/>
      <c r="G1089" s="1101"/>
    </row>
    <row r="1090" spans="5:7">
      <c r="E1090" s="1101"/>
      <c r="G1090" s="1101"/>
    </row>
    <row r="1091" spans="5:7">
      <c r="E1091" s="1101"/>
      <c r="G1091" s="1101"/>
    </row>
    <row r="1092" spans="5:7">
      <c r="E1092" s="1101"/>
      <c r="G1092" s="1101"/>
    </row>
    <row r="1093" spans="5:7">
      <c r="E1093" s="1101"/>
      <c r="G1093" s="1101"/>
    </row>
    <row r="1094" spans="5:7">
      <c r="E1094" s="1101"/>
      <c r="G1094" s="1101"/>
    </row>
    <row r="1095" spans="5:7">
      <c r="E1095" s="1101"/>
      <c r="G1095" s="1101"/>
    </row>
    <row r="1096" spans="5:7">
      <c r="E1096" s="1101"/>
      <c r="G1096" s="1101"/>
    </row>
    <row r="1097" spans="5:7">
      <c r="E1097" s="1101"/>
      <c r="G1097" s="1101"/>
    </row>
    <row r="1098" spans="5:7">
      <c r="E1098" s="1101"/>
      <c r="G1098" s="1101"/>
    </row>
    <row r="1099" spans="5:7">
      <c r="E1099" s="1101"/>
      <c r="G1099" s="1101"/>
    </row>
    <row r="1100" spans="5:7">
      <c r="E1100" s="1101"/>
      <c r="G1100" s="1101"/>
    </row>
    <row r="1101" spans="5:7">
      <c r="E1101" s="1101"/>
      <c r="G1101" s="1101"/>
    </row>
    <row r="1102" spans="5:7">
      <c r="E1102" s="1101"/>
      <c r="G1102" s="1101"/>
    </row>
    <row r="1103" spans="5:7">
      <c r="E1103" s="1101"/>
      <c r="G1103" s="1101"/>
    </row>
    <row r="1104" spans="5:7">
      <c r="E1104" s="1101"/>
      <c r="G1104" s="1101"/>
    </row>
    <row r="1105" spans="5:7">
      <c r="E1105" s="1101"/>
      <c r="G1105" s="1101"/>
    </row>
    <row r="1106" spans="5:7">
      <c r="E1106" s="1101"/>
      <c r="G1106" s="1101"/>
    </row>
    <row r="1107" spans="5:7">
      <c r="E1107" s="1101"/>
      <c r="G1107" s="1101"/>
    </row>
    <row r="1108" spans="5:7">
      <c r="E1108" s="1101"/>
      <c r="G1108" s="1101"/>
    </row>
    <row r="1109" spans="5:7">
      <c r="E1109" s="1101"/>
      <c r="G1109" s="1101"/>
    </row>
    <row r="1110" spans="5:7">
      <c r="E1110" s="1101"/>
      <c r="G1110" s="1101"/>
    </row>
    <row r="1111" spans="5:7">
      <c r="E1111" s="1101"/>
      <c r="G1111" s="1101"/>
    </row>
    <row r="1112" spans="5:7">
      <c r="E1112" s="1101"/>
      <c r="G1112" s="1101"/>
    </row>
    <row r="1113" spans="5:7">
      <c r="E1113" s="1101"/>
      <c r="G1113" s="1101"/>
    </row>
    <row r="1114" spans="5:7">
      <c r="E1114" s="1101"/>
      <c r="G1114" s="1101"/>
    </row>
    <row r="1115" spans="5:7">
      <c r="E1115" s="1101"/>
      <c r="G1115" s="1101"/>
    </row>
    <row r="1116" spans="5:7">
      <c r="E1116" s="1101"/>
      <c r="G1116" s="1101"/>
    </row>
    <row r="1117" spans="5:7">
      <c r="E1117" s="1101"/>
      <c r="G1117" s="1101"/>
    </row>
    <row r="1118" spans="5:7">
      <c r="E1118" s="1101"/>
      <c r="G1118" s="1101"/>
    </row>
    <row r="1119" spans="5:7">
      <c r="E1119" s="1101"/>
      <c r="G1119" s="1101"/>
    </row>
    <row r="1120" spans="5:7">
      <c r="E1120" s="1101"/>
      <c r="G1120" s="1101"/>
    </row>
    <row r="1121" spans="5:7">
      <c r="E1121" s="1101"/>
      <c r="G1121" s="1101"/>
    </row>
    <row r="1122" spans="5:7">
      <c r="E1122" s="1101"/>
      <c r="G1122" s="1101"/>
    </row>
    <row r="1123" spans="5:7">
      <c r="E1123" s="1101"/>
      <c r="G1123" s="1101"/>
    </row>
    <row r="1124" spans="5:7">
      <c r="E1124" s="1101"/>
      <c r="G1124" s="1101"/>
    </row>
    <row r="1125" spans="5:7">
      <c r="E1125" s="1101"/>
      <c r="G1125" s="1101"/>
    </row>
    <row r="1126" spans="5:7">
      <c r="E1126" s="1101"/>
      <c r="G1126" s="1101"/>
    </row>
    <row r="1127" spans="5:7">
      <c r="E1127" s="1101"/>
      <c r="G1127" s="1101"/>
    </row>
    <row r="1128" spans="5:7">
      <c r="E1128" s="1101"/>
      <c r="G1128" s="1101"/>
    </row>
    <row r="1129" spans="5:7">
      <c r="E1129" s="1101"/>
      <c r="G1129" s="1101"/>
    </row>
    <row r="1130" spans="5:7">
      <c r="E1130" s="1101"/>
      <c r="G1130" s="1101"/>
    </row>
    <row r="1131" spans="5:7">
      <c r="E1131" s="1101"/>
      <c r="G1131" s="1101"/>
    </row>
    <row r="1132" spans="5:7">
      <c r="E1132" s="1101"/>
      <c r="G1132" s="1101"/>
    </row>
    <row r="1133" spans="5:7">
      <c r="E1133" s="1101"/>
      <c r="G1133" s="1101"/>
    </row>
    <row r="1134" spans="5:7">
      <c r="E1134" s="1101"/>
      <c r="G1134" s="1101"/>
    </row>
    <row r="1135" spans="5:7">
      <c r="E1135" s="1101"/>
      <c r="G1135" s="1101"/>
    </row>
    <row r="1136" spans="5:7">
      <c r="E1136" s="1101"/>
      <c r="G1136" s="1101"/>
    </row>
    <row r="1137" spans="5:7">
      <c r="E1137" s="1101"/>
      <c r="G1137" s="1101"/>
    </row>
    <row r="1138" spans="5:7">
      <c r="E1138" s="1101"/>
      <c r="G1138" s="1101"/>
    </row>
    <row r="1139" spans="5:7">
      <c r="E1139" s="1101"/>
      <c r="G1139" s="1101"/>
    </row>
    <row r="1140" spans="5:7">
      <c r="E1140" s="1101"/>
      <c r="G1140" s="1101"/>
    </row>
    <row r="1141" spans="5:7">
      <c r="E1141" s="1101"/>
      <c r="G1141" s="1101"/>
    </row>
    <row r="1142" spans="5:7">
      <c r="E1142" s="1101"/>
      <c r="G1142" s="1101"/>
    </row>
    <row r="1143" spans="5:7">
      <c r="E1143" s="1101"/>
      <c r="G1143" s="1101"/>
    </row>
    <row r="1144" spans="5:7">
      <c r="E1144" s="1101"/>
      <c r="G1144" s="1101"/>
    </row>
    <row r="1145" spans="5:7">
      <c r="E1145" s="1101"/>
      <c r="G1145" s="1101"/>
    </row>
    <row r="1146" spans="5:7">
      <c r="E1146" s="1101"/>
      <c r="G1146" s="1101"/>
    </row>
    <row r="1147" spans="5:7">
      <c r="E1147" s="1101"/>
      <c r="G1147" s="1101"/>
    </row>
    <row r="1148" spans="5:7">
      <c r="E1148" s="1101"/>
      <c r="G1148" s="1101"/>
    </row>
    <row r="1149" spans="5:7">
      <c r="E1149" s="1101"/>
      <c r="G1149" s="1101"/>
    </row>
    <row r="1150" spans="5:7">
      <c r="E1150" s="1101"/>
      <c r="G1150" s="1101"/>
    </row>
    <row r="1151" spans="5:7">
      <c r="E1151" s="1101"/>
      <c r="G1151" s="1101"/>
    </row>
    <row r="1152" spans="5:7">
      <c r="E1152" s="1101"/>
      <c r="G1152" s="1101"/>
    </row>
    <row r="1153" spans="5:7">
      <c r="E1153" s="1101"/>
      <c r="G1153" s="1101"/>
    </row>
    <row r="1154" spans="5:7">
      <c r="E1154" s="1101"/>
      <c r="G1154" s="1101"/>
    </row>
    <row r="1155" spans="5:7">
      <c r="E1155" s="1101"/>
      <c r="G1155" s="1101"/>
    </row>
    <row r="1156" spans="5:7">
      <c r="E1156" s="1101"/>
      <c r="G1156" s="1101"/>
    </row>
    <row r="1157" spans="5:7">
      <c r="E1157" s="1101"/>
      <c r="G1157" s="1101"/>
    </row>
    <row r="1158" spans="5:7">
      <c r="E1158" s="1101"/>
      <c r="G1158" s="1101"/>
    </row>
    <row r="1159" spans="5:7">
      <c r="E1159" s="1101"/>
      <c r="G1159" s="1101"/>
    </row>
    <row r="1160" spans="5:7">
      <c r="E1160" s="1101"/>
      <c r="G1160" s="1101"/>
    </row>
    <row r="1161" spans="5:7">
      <c r="E1161" s="1101"/>
      <c r="G1161" s="1101"/>
    </row>
    <row r="1162" spans="5:7">
      <c r="E1162" s="1101"/>
      <c r="G1162" s="1101"/>
    </row>
    <row r="1163" spans="5:7">
      <c r="E1163" s="1101"/>
      <c r="G1163" s="1101"/>
    </row>
    <row r="1164" spans="5:7">
      <c r="E1164" s="1101"/>
      <c r="G1164" s="1101"/>
    </row>
    <row r="1165" spans="5:7">
      <c r="E1165" s="1101"/>
      <c r="G1165" s="1101"/>
    </row>
    <row r="1166" spans="5:7">
      <c r="E1166" s="1101"/>
      <c r="G1166" s="1101"/>
    </row>
    <row r="1167" spans="5:7">
      <c r="E1167" s="1101"/>
      <c r="G1167" s="1101"/>
    </row>
    <row r="1168" spans="5:7">
      <c r="E1168" s="1101"/>
      <c r="G1168" s="1101"/>
    </row>
    <row r="1169" spans="5:7">
      <c r="E1169" s="1101"/>
      <c r="G1169" s="1101"/>
    </row>
    <row r="1170" spans="5:7">
      <c r="E1170" s="1101"/>
      <c r="G1170" s="1101"/>
    </row>
    <row r="1171" spans="5:7">
      <c r="E1171" s="1101"/>
      <c r="G1171" s="1101"/>
    </row>
    <row r="1172" spans="5:7">
      <c r="E1172" s="1101"/>
      <c r="G1172" s="1101"/>
    </row>
    <row r="1173" spans="5:7">
      <c r="E1173" s="1101"/>
      <c r="G1173" s="1101"/>
    </row>
    <row r="1174" spans="5:7">
      <c r="E1174" s="1101"/>
      <c r="G1174" s="1101"/>
    </row>
    <row r="1175" spans="5:7">
      <c r="E1175" s="1101"/>
      <c r="G1175" s="1101"/>
    </row>
    <row r="1176" spans="5:7">
      <c r="E1176" s="1101"/>
      <c r="G1176" s="1101"/>
    </row>
    <row r="1177" spans="5:7">
      <c r="E1177" s="1101"/>
      <c r="G1177" s="1101"/>
    </row>
    <row r="1178" spans="5:7">
      <c r="E1178" s="1101"/>
      <c r="G1178" s="1101"/>
    </row>
    <row r="1179" spans="5:7">
      <c r="E1179" s="1101"/>
      <c r="G1179" s="1101"/>
    </row>
    <row r="1180" spans="5:7">
      <c r="E1180" s="1101"/>
      <c r="G1180" s="1101"/>
    </row>
    <row r="1181" spans="5:7">
      <c r="E1181" s="1101"/>
      <c r="G1181" s="1101"/>
    </row>
    <row r="1182" spans="5:7">
      <c r="E1182" s="1101"/>
      <c r="G1182" s="1101"/>
    </row>
    <row r="1183" spans="5:7">
      <c r="E1183" s="1101"/>
      <c r="G1183" s="1101"/>
    </row>
    <row r="1184" spans="5:7">
      <c r="E1184" s="1101"/>
      <c r="G1184" s="1101"/>
    </row>
    <row r="1185" spans="5:7">
      <c r="E1185" s="1101"/>
      <c r="G1185" s="1101"/>
    </row>
    <row r="1186" spans="5:7">
      <c r="E1186" s="1101"/>
      <c r="G1186" s="1101"/>
    </row>
    <row r="1187" spans="5:7">
      <c r="E1187" s="1101"/>
      <c r="G1187" s="1101"/>
    </row>
    <row r="1188" spans="5:7">
      <c r="E1188" s="1101"/>
      <c r="G1188" s="1101"/>
    </row>
    <row r="1189" spans="5:7">
      <c r="E1189" s="1101"/>
      <c r="G1189" s="1101"/>
    </row>
    <row r="1190" spans="5:7">
      <c r="E1190" s="1101"/>
      <c r="G1190" s="1101"/>
    </row>
    <row r="1191" spans="5:7">
      <c r="E1191" s="1101"/>
      <c r="G1191" s="1101"/>
    </row>
    <row r="1192" spans="5:7">
      <c r="E1192" s="1101"/>
      <c r="G1192" s="1101"/>
    </row>
    <row r="1193" spans="5:7">
      <c r="E1193" s="1101"/>
      <c r="G1193" s="1101"/>
    </row>
    <row r="1194" spans="5:7">
      <c r="E1194" s="1101"/>
      <c r="G1194" s="1101"/>
    </row>
    <row r="1195" spans="5:7">
      <c r="E1195" s="1101"/>
      <c r="G1195" s="1101"/>
    </row>
    <row r="1196" spans="5:7">
      <c r="E1196" s="1101"/>
      <c r="G1196" s="1101"/>
    </row>
    <row r="1197" spans="5:7">
      <c r="E1197" s="1101"/>
      <c r="G1197" s="1101"/>
    </row>
    <row r="1198" spans="5:7">
      <c r="E1198" s="1101"/>
      <c r="G1198" s="1101"/>
    </row>
    <row r="1199" spans="5:7">
      <c r="E1199" s="1101"/>
      <c r="G1199" s="1101"/>
    </row>
    <row r="1200" spans="5:7">
      <c r="E1200" s="1101"/>
      <c r="G1200" s="1101"/>
    </row>
    <row r="1201" spans="5:7">
      <c r="E1201" s="1101"/>
      <c r="G1201" s="1101"/>
    </row>
    <row r="1202" spans="5:7">
      <c r="E1202" s="1101"/>
      <c r="G1202" s="1101"/>
    </row>
    <row r="1203" spans="5:7">
      <c r="E1203" s="1101"/>
      <c r="G1203" s="1101"/>
    </row>
    <row r="1204" spans="5:7">
      <c r="E1204" s="1101"/>
      <c r="G1204" s="1101"/>
    </row>
    <row r="1205" spans="5:7">
      <c r="E1205" s="1101"/>
      <c r="G1205" s="1101"/>
    </row>
    <row r="1206" spans="5:7">
      <c r="E1206" s="1101"/>
      <c r="G1206" s="1101"/>
    </row>
    <row r="1207" spans="5:7">
      <c r="E1207" s="1101"/>
      <c r="G1207" s="1101"/>
    </row>
    <row r="1208" spans="5:7">
      <c r="E1208" s="1101"/>
      <c r="G1208" s="1101"/>
    </row>
    <row r="1209" spans="5:7">
      <c r="E1209" s="1101"/>
      <c r="G1209" s="1101"/>
    </row>
    <row r="1210" spans="5:7">
      <c r="E1210" s="1101"/>
      <c r="G1210" s="1101"/>
    </row>
    <row r="1211" spans="5:7">
      <c r="E1211" s="1101"/>
      <c r="G1211" s="1101"/>
    </row>
    <row r="1212" spans="5:7">
      <c r="E1212" s="1101"/>
      <c r="G1212" s="1101"/>
    </row>
    <row r="1213" spans="5:7">
      <c r="E1213" s="1101"/>
      <c r="G1213" s="1101"/>
    </row>
    <row r="1214" spans="5:7">
      <c r="E1214" s="1101"/>
      <c r="G1214" s="1101"/>
    </row>
    <row r="1215" spans="5:7">
      <c r="E1215" s="1101"/>
      <c r="G1215" s="1101"/>
    </row>
    <row r="1216" spans="5:7">
      <c r="E1216" s="1101"/>
      <c r="G1216" s="1101"/>
    </row>
    <row r="1217" spans="5:7">
      <c r="E1217" s="1101"/>
      <c r="G1217" s="1101"/>
    </row>
    <row r="1218" spans="5:7">
      <c r="E1218" s="1101"/>
      <c r="G1218" s="1101"/>
    </row>
    <row r="1219" spans="5:7">
      <c r="E1219" s="1101"/>
      <c r="G1219" s="1101"/>
    </row>
    <row r="1220" spans="5:7">
      <c r="E1220" s="1101"/>
      <c r="G1220" s="1101"/>
    </row>
    <row r="1221" spans="5:7">
      <c r="E1221" s="1101"/>
      <c r="G1221" s="1101"/>
    </row>
    <row r="1222" spans="5:7">
      <c r="E1222" s="1101"/>
      <c r="G1222" s="1101"/>
    </row>
    <row r="1223" spans="5:7">
      <c r="E1223" s="1101"/>
      <c r="G1223" s="1101"/>
    </row>
    <row r="1224" spans="5:7">
      <c r="E1224" s="1101"/>
      <c r="G1224" s="1101"/>
    </row>
    <row r="1225" spans="5:7">
      <c r="E1225" s="1101"/>
      <c r="G1225" s="1101"/>
    </row>
    <row r="1226" spans="5:7">
      <c r="E1226" s="1101"/>
      <c r="G1226" s="1101"/>
    </row>
    <row r="1227" spans="5:7">
      <c r="E1227" s="1101"/>
      <c r="G1227" s="1101"/>
    </row>
    <row r="1228" spans="5:7">
      <c r="E1228" s="1101"/>
      <c r="G1228" s="1101"/>
    </row>
    <row r="1229" spans="5:7">
      <c r="E1229" s="1101"/>
      <c r="G1229" s="1101"/>
    </row>
    <row r="1230" spans="5:7">
      <c r="E1230" s="1101"/>
      <c r="G1230" s="1101"/>
    </row>
    <row r="1231" spans="5:7">
      <c r="E1231" s="1101"/>
      <c r="G1231" s="1101"/>
    </row>
    <row r="1232" spans="5:7">
      <c r="E1232" s="1101"/>
      <c r="G1232" s="1101"/>
    </row>
    <row r="1233" spans="5:7">
      <c r="E1233" s="1101"/>
      <c r="G1233" s="1101"/>
    </row>
    <row r="1234" spans="5:7">
      <c r="E1234" s="1101"/>
      <c r="G1234" s="1101"/>
    </row>
    <row r="1235" spans="5:7">
      <c r="E1235" s="1101"/>
      <c r="G1235" s="1101"/>
    </row>
    <row r="1236" spans="5:7">
      <c r="E1236" s="1101"/>
      <c r="G1236" s="1101"/>
    </row>
    <row r="1237" spans="5:7">
      <c r="E1237" s="1101"/>
      <c r="G1237" s="1101"/>
    </row>
    <row r="1238" spans="5:7">
      <c r="E1238" s="1101"/>
      <c r="G1238" s="1101"/>
    </row>
    <row r="1239" spans="5:7">
      <c r="E1239" s="1101"/>
      <c r="G1239" s="1101"/>
    </row>
    <row r="1240" spans="5:7">
      <c r="E1240" s="1101"/>
      <c r="G1240" s="1101"/>
    </row>
    <row r="1241" spans="5:7">
      <c r="E1241" s="1101"/>
      <c r="G1241" s="1101"/>
    </row>
    <row r="1242" spans="5:7">
      <c r="E1242" s="1101"/>
      <c r="G1242" s="1101"/>
    </row>
    <row r="1243" spans="5:7">
      <c r="E1243" s="1101"/>
      <c r="G1243" s="1101"/>
    </row>
    <row r="1244" spans="5:7">
      <c r="E1244" s="1101"/>
      <c r="G1244" s="1101"/>
    </row>
    <row r="1245" spans="5:7">
      <c r="E1245" s="1101"/>
      <c r="G1245" s="1101"/>
    </row>
    <row r="1246" spans="5:7">
      <c r="E1246" s="1101"/>
      <c r="G1246" s="1101"/>
    </row>
    <row r="1247" spans="5:7">
      <c r="E1247" s="1101"/>
      <c r="G1247" s="1101"/>
    </row>
    <row r="1248" spans="5:7">
      <c r="E1248" s="1101"/>
      <c r="G1248" s="1101"/>
    </row>
    <row r="1249" spans="5:7">
      <c r="E1249" s="1101"/>
      <c r="G1249" s="1101"/>
    </row>
    <row r="1250" spans="5:7">
      <c r="E1250" s="1101"/>
      <c r="G1250" s="1101"/>
    </row>
    <row r="1251" spans="5:7">
      <c r="E1251" s="1101"/>
      <c r="G1251" s="1101"/>
    </row>
    <row r="1252" spans="5:7">
      <c r="E1252" s="1101"/>
      <c r="G1252" s="1101"/>
    </row>
    <row r="1253" spans="5:7">
      <c r="E1253" s="1101"/>
      <c r="G1253" s="1101"/>
    </row>
    <row r="1254" spans="5:7">
      <c r="E1254" s="1101"/>
      <c r="G1254" s="1101"/>
    </row>
    <row r="1255" spans="5:7">
      <c r="E1255" s="1101"/>
      <c r="G1255" s="1101"/>
    </row>
    <row r="1256" spans="5:7">
      <c r="E1256" s="1101"/>
      <c r="G1256" s="1101"/>
    </row>
    <row r="1257" spans="5:7">
      <c r="E1257" s="1101"/>
      <c r="G1257" s="1101"/>
    </row>
    <row r="1258" spans="5:7">
      <c r="E1258" s="1101"/>
      <c r="G1258" s="1101"/>
    </row>
    <row r="1259" spans="5:7">
      <c r="E1259" s="1101"/>
      <c r="G1259" s="1101"/>
    </row>
    <row r="1260" spans="5:7">
      <c r="E1260" s="1101"/>
      <c r="G1260" s="1101"/>
    </row>
    <row r="1261" spans="5:7">
      <c r="E1261" s="1101"/>
      <c r="G1261" s="1101"/>
    </row>
    <row r="1262" spans="5:7">
      <c r="E1262" s="1101"/>
      <c r="G1262" s="1101"/>
    </row>
    <row r="1263" spans="5:7">
      <c r="E1263" s="1101"/>
      <c r="G1263" s="1101"/>
    </row>
    <row r="1264" spans="5:7">
      <c r="E1264" s="1101"/>
      <c r="G1264" s="1101"/>
    </row>
    <row r="1265" spans="5:7">
      <c r="E1265" s="1101"/>
      <c r="G1265" s="1101"/>
    </row>
    <row r="1266" spans="5:7">
      <c r="E1266" s="1101"/>
      <c r="G1266" s="1101"/>
    </row>
    <row r="1267" spans="5:7">
      <c r="E1267" s="1101"/>
      <c r="G1267" s="1101"/>
    </row>
    <row r="1268" spans="5:7">
      <c r="E1268" s="1101"/>
      <c r="G1268" s="1101"/>
    </row>
    <row r="1269" spans="5:7">
      <c r="E1269" s="1101"/>
      <c r="G1269" s="1101"/>
    </row>
    <row r="1270" spans="5:7">
      <c r="E1270" s="1101"/>
      <c r="G1270" s="1101"/>
    </row>
    <row r="1271" spans="5:7">
      <c r="E1271" s="1101"/>
      <c r="G1271" s="1101"/>
    </row>
    <row r="1272" spans="5:7">
      <c r="E1272" s="1101"/>
      <c r="G1272" s="1101"/>
    </row>
    <row r="1273" spans="5:7">
      <c r="E1273" s="1101"/>
      <c r="G1273" s="1101"/>
    </row>
    <row r="1274" spans="5:7">
      <c r="E1274" s="1101"/>
      <c r="G1274" s="1101"/>
    </row>
    <row r="1275" spans="5:7">
      <c r="E1275" s="1101"/>
      <c r="G1275" s="1101"/>
    </row>
    <row r="1276" spans="5:7">
      <c r="E1276" s="1101"/>
      <c r="G1276" s="1101"/>
    </row>
    <row r="1277" spans="5:7">
      <c r="E1277" s="1101"/>
      <c r="G1277" s="1101"/>
    </row>
    <row r="1278" spans="5:7">
      <c r="E1278" s="1101"/>
      <c r="G1278" s="1101"/>
    </row>
    <row r="1279" spans="5:7">
      <c r="E1279" s="1101"/>
      <c r="G1279" s="1101"/>
    </row>
    <row r="1280" spans="5:7">
      <c r="E1280" s="1101"/>
      <c r="G1280" s="1101"/>
    </row>
    <row r="1281" spans="5:7">
      <c r="E1281" s="1101"/>
      <c r="G1281" s="1101"/>
    </row>
    <row r="1282" spans="5:7">
      <c r="E1282" s="1101"/>
      <c r="G1282" s="1101"/>
    </row>
    <row r="1283" spans="5:7">
      <c r="E1283" s="1101"/>
      <c r="G1283" s="1101"/>
    </row>
    <row r="1284" spans="5:7">
      <c r="E1284" s="1101"/>
      <c r="G1284" s="1101"/>
    </row>
    <row r="1285" spans="5:7">
      <c r="E1285" s="1101"/>
      <c r="G1285" s="1101"/>
    </row>
    <row r="1286" spans="5:7">
      <c r="E1286" s="1101"/>
      <c r="G1286" s="1101"/>
    </row>
    <row r="1287" spans="5:7">
      <c r="E1287" s="1101"/>
      <c r="G1287" s="1101"/>
    </row>
    <row r="1288" spans="5:7">
      <c r="E1288" s="1101"/>
      <c r="G1288" s="1101"/>
    </row>
    <row r="1289" spans="5:7">
      <c r="E1289" s="1101"/>
      <c r="G1289" s="1101"/>
    </row>
    <row r="1290" spans="5:7">
      <c r="E1290" s="1101"/>
      <c r="G1290" s="1101"/>
    </row>
    <row r="1291" spans="5:7">
      <c r="E1291" s="1101"/>
      <c r="G1291" s="1101"/>
    </row>
    <row r="1292" spans="5:7">
      <c r="E1292" s="1101"/>
      <c r="G1292" s="1101"/>
    </row>
    <row r="1293" spans="5:7">
      <c r="E1293" s="1101"/>
      <c r="G1293" s="1101"/>
    </row>
    <row r="1294" spans="5:7">
      <c r="E1294" s="1101"/>
      <c r="G1294" s="1101"/>
    </row>
    <row r="1295" spans="5:7">
      <c r="E1295" s="1101"/>
      <c r="G1295" s="1101"/>
    </row>
    <row r="1296" spans="5:7">
      <c r="E1296" s="1101"/>
      <c r="G1296" s="1101"/>
    </row>
    <row r="1297" spans="5:7">
      <c r="E1297" s="1101"/>
      <c r="G1297" s="1101"/>
    </row>
    <row r="1298" spans="5:7">
      <c r="E1298" s="1101"/>
      <c r="G1298" s="1101"/>
    </row>
    <row r="1299" spans="5:7">
      <c r="E1299" s="1101"/>
      <c r="G1299" s="1101"/>
    </row>
    <row r="1300" spans="5:7">
      <c r="E1300" s="1101"/>
      <c r="G1300" s="1101"/>
    </row>
    <row r="1301" spans="5:7">
      <c r="E1301" s="1101"/>
      <c r="G1301" s="1101"/>
    </row>
    <row r="1302" spans="5:7">
      <c r="E1302" s="1101"/>
      <c r="G1302" s="1101"/>
    </row>
    <row r="1303" spans="5:7">
      <c r="E1303" s="1101"/>
      <c r="G1303" s="1101"/>
    </row>
    <row r="1304" spans="5:7">
      <c r="E1304" s="1101"/>
      <c r="G1304" s="1101"/>
    </row>
    <row r="1305" spans="5:7">
      <c r="E1305" s="1101"/>
      <c r="G1305" s="1101"/>
    </row>
    <row r="1306" spans="5:7">
      <c r="E1306" s="1101"/>
      <c r="G1306" s="1101"/>
    </row>
    <row r="1307" spans="5:7">
      <c r="E1307" s="1101"/>
      <c r="G1307" s="1101"/>
    </row>
    <row r="1308" spans="5:7">
      <c r="E1308" s="1101"/>
      <c r="G1308" s="1101"/>
    </row>
    <row r="1309" spans="5:7">
      <c r="E1309" s="1101"/>
      <c r="G1309" s="1101"/>
    </row>
    <row r="1310" spans="5:7">
      <c r="E1310" s="1101"/>
      <c r="G1310" s="1101"/>
    </row>
    <row r="1311" spans="5:7">
      <c r="E1311" s="1101"/>
      <c r="G1311" s="1101"/>
    </row>
    <row r="1312" spans="5:7">
      <c r="E1312" s="1101"/>
      <c r="G1312" s="1101"/>
    </row>
    <row r="1313" spans="5:7">
      <c r="E1313" s="1101"/>
      <c r="G1313" s="1101"/>
    </row>
    <row r="1314" spans="5:7">
      <c r="E1314" s="1101"/>
      <c r="G1314" s="1101"/>
    </row>
    <row r="1315" spans="5:7">
      <c r="E1315" s="1101"/>
      <c r="G1315" s="1101"/>
    </row>
    <row r="1316" spans="5:7">
      <c r="E1316" s="1101"/>
      <c r="G1316" s="1101"/>
    </row>
    <row r="1317" spans="5:7">
      <c r="E1317" s="1101"/>
      <c r="G1317" s="1101"/>
    </row>
    <row r="1318" spans="5:7">
      <c r="E1318" s="1101"/>
      <c r="G1318" s="1101"/>
    </row>
    <row r="1319" spans="5:7">
      <c r="E1319" s="1101"/>
      <c r="G1319" s="1101"/>
    </row>
    <row r="1320" spans="5:7">
      <c r="E1320" s="1101"/>
      <c r="G1320" s="1101"/>
    </row>
    <row r="1321" spans="5:7">
      <c r="E1321" s="1101"/>
      <c r="G1321" s="1101"/>
    </row>
    <row r="1322" spans="5:7">
      <c r="E1322" s="1101"/>
      <c r="G1322" s="1101"/>
    </row>
    <row r="1323" spans="5:7">
      <c r="E1323" s="1101"/>
      <c r="G1323" s="1101"/>
    </row>
    <row r="1324" spans="5:7">
      <c r="E1324" s="1101"/>
      <c r="G1324" s="1101"/>
    </row>
    <row r="1325" spans="5:7">
      <c r="E1325" s="1101"/>
      <c r="G1325" s="1101"/>
    </row>
    <row r="1326" spans="5:7">
      <c r="E1326" s="1101"/>
      <c r="G1326" s="1101"/>
    </row>
    <row r="1327" spans="5:7">
      <c r="E1327" s="1101"/>
      <c r="G1327" s="1101"/>
    </row>
    <row r="1328" spans="5:7">
      <c r="E1328" s="1101"/>
      <c r="G1328" s="1101"/>
    </row>
    <row r="1329" spans="5:7">
      <c r="E1329" s="1101"/>
      <c r="G1329" s="1101"/>
    </row>
    <row r="1330" spans="5:7">
      <c r="E1330" s="1101"/>
      <c r="G1330" s="1101"/>
    </row>
    <row r="1331" spans="5:7">
      <c r="E1331" s="1101"/>
      <c r="G1331" s="1101"/>
    </row>
    <row r="1332" spans="5:7">
      <c r="E1332" s="1101"/>
      <c r="G1332" s="1101"/>
    </row>
    <row r="1333" spans="5:7">
      <c r="E1333" s="1101"/>
      <c r="G1333" s="1101"/>
    </row>
    <row r="1334" spans="5:7">
      <c r="E1334" s="1101"/>
      <c r="G1334" s="1101"/>
    </row>
    <row r="1335" spans="5:7">
      <c r="E1335" s="1101"/>
      <c r="G1335" s="1101"/>
    </row>
    <row r="1336" spans="5:7">
      <c r="E1336" s="1101"/>
      <c r="G1336" s="1101"/>
    </row>
    <row r="1337" spans="5:7">
      <c r="E1337" s="1101"/>
      <c r="G1337" s="1101"/>
    </row>
    <row r="1338" spans="5:7">
      <c r="E1338" s="1101"/>
      <c r="G1338" s="1101"/>
    </row>
    <row r="1339" spans="5:7">
      <c r="E1339" s="1101"/>
      <c r="G1339" s="1101"/>
    </row>
    <row r="1340" spans="5:7">
      <c r="E1340" s="1101"/>
      <c r="G1340" s="1101"/>
    </row>
    <row r="1341" spans="5:7">
      <c r="E1341" s="1101"/>
      <c r="G1341" s="1101"/>
    </row>
    <row r="1342" spans="5:7">
      <c r="E1342" s="1101"/>
      <c r="G1342" s="1101"/>
    </row>
  </sheetData>
  <mergeCells count="7">
    <mergeCell ref="B1002:I1002"/>
    <mergeCell ref="B7:B8"/>
    <mergeCell ref="C7:C8"/>
    <mergeCell ref="D7:E7"/>
    <mergeCell ref="F7:G7"/>
    <mergeCell ref="H7:I7"/>
    <mergeCell ref="D9:I9"/>
  </mergeCells>
  <conditionalFormatting sqref="B80:B95">
    <cfRule type="duplicateValues" dxfId="86" priority="34" stopIfTrue="1"/>
  </conditionalFormatting>
  <conditionalFormatting sqref="B98:B127">
    <cfRule type="duplicateValues" dxfId="85" priority="33" stopIfTrue="1"/>
  </conditionalFormatting>
  <conditionalFormatting sqref="B231:B263">
    <cfRule type="duplicateValues" dxfId="84" priority="32" stopIfTrue="1"/>
  </conditionalFormatting>
  <conditionalFormatting sqref="B266:B305">
    <cfRule type="duplicateValues" dxfId="83" priority="31" stopIfTrue="1"/>
  </conditionalFormatting>
  <conditionalFormatting sqref="B435:B449">
    <cfRule type="duplicateValues" dxfId="82" priority="30" stopIfTrue="1"/>
  </conditionalFormatting>
  <conditionalFormatting sqref="B450">
    <cfRule type="duplicateValues" dxfId="81" priority="29" stopIfTrue="1"/>
  </conditionalFormatting>
  <conditionalFormatting sqref="B453:B475">
    <cfRule type="duplicateValues" dxfId="80" priority="28" stopIfTrue="1"/>
  </conditionalFormatting>
  <conditionalFormatting sqref="B478:B484">
    <cfRule type="duplicateValues" dxfId="79" priority="27" stopIfTrue="1"/>
  </conditionalFormatting>
  <conditionalFormatting sqref="B308:B317">
    <cfRule type="duplicateValues" dxfId="78" priority="26" stopIfTrue="1"/>
  </conditionalFormatting>
  <conditionalFormatting sqref="B130:B141">
    <cfRule type="duplicateValues" dxfId="77" priority="25" stopIfTrue="1"/>
  </conditionalFormatting>
  <conditionalFormatting sqref="B695:B728">
    <cfRule type="duplicateValues" dxfId="76" priority="24" stopIfTrue="1"/>
  </conditionalFormatting>
  <conditionalFormatting sqref="B653:B684">
    <cfRule type="duplicateValues" dxfId="75" priority="23" stopIfTrue="1"/>
  </conditionalFormatting>
  <conditionalFormatting sqref="B775:B804">
    <cfRule type="duplicateValues" dxfId="74" priority="21" stopIfTrue="1"/>
  </conditionalFormatting>
  <conditionalFormatting sqref="B829">
    <cfRule type="duplicateValues" dxfId="73" priority="20" stopIfTrue="1"/>
  </conditionalFormatting>
  <conditionalFormatting sqref="B808:B822">
    <cfRule type="duplicateValues" dxfId="72" priority="19" stopIfTrue="1"/>
  </conditionalFormatting>
  <conditionalFormatting sqref="B385:B434">
    <cfRule type="duplicateValues" dxfId="71" priority="13" stopIfTrue="1"/>
  </conditionalFormatting>
  <conditionalFormatting sqref="B11:B71">
    <cfRule type="duplicateValues" dxfId="70" priority="59" stopIfTrue="1"/>
  </conditionalFormatting>
  <conditionalFormatting sqref="B230">
    <cfRule type="duplicateValues" dxfId="69" priority="11" stopIfTrue="1"/>
    <cfRule type="duplicateValues" dxfId="68" priority="12" stopIfTrue="1"/>
  </conditionalFormatting>
  <conditionalFormatting sqref="B145:B220">
    <cfRule type="duplicateValues" dxfId="67" priority="63" stopIfTrue="1"/>
    <cfRule type="duplicateValues" dxfId="66" priority="64" stopIfTrue="1"/>
  </conditionalFormatting>
  <conditionalFormatting sqref="B384">
    <cfRule type="duplicateValues" dxfId="65" priority="9" stopIfTrue="1"/>
    <cfRule type="duplicateValues" dxfId="64" priority="10" stopIfTrue="1"/>
  </conditionalFormatting>
  <conditionalFormatting sqref="B390:B391">
    <cfRule type="duplicateValues" dxfId="63" priority="7" stopIfTrue="1"/>
    <cfRule type="duplicateValues" dxfId="62" priority="8" stopIfTrue="1"/>
  </conditionalFormatting>
  <conditionalFormatting sqref="B391">
    <cfRule type="duplicateValues" dxfId="61" priority="5" stopIfTrue="1"/>
    <cfRule type="duplicateValues" dxfId="60" priority="6" stopIfTrue="1"/>
  </conditionalFormatting>
  <conditionalFormatting sqref="B322:B381">
    <cfRule type="duplicateValues" dxfId="59" priority="71" stopIfTrue="1"/>
    <cfRule type="duplicateValues" dxfId="58" priority="72" stopIfTrue="1"/>
  </conditionalFormatting>
  <conditionalFormatting sqref="B72:B77">
    <cfRule type="duplicateValues" dxfId="57" priority="4" stopIfTrue="1"/>
  </conditionalFormatting>
  <conditionalFormatting sqref="B221:B227">
    <cfRule type="duplicateValues" dxfId="56" priority="2" stopIfTrue="1"/>
    <cfRule type="duplicateValues" dxfId="55" priority="3" stopIfTrue="1"/>
  </conditionalFormatting>
  <conditionalFormatting sqref="B613:B640">
    <cfRule type="duplicateValues" dxfId="54" priority="1" stopIfTrue="1"/>
  </conditionalFormatting>
  <pageMargins left="0.23622047244094491" right="0.23622047244094491" top="0.35433070866141736" bottom="0.35433070866141736" header="0.31496062992125984" footer="0.31496062992125984"/>
  <pageSetup paperSize="9" scale="73" orientation="portrait" r:id="rId1"/>
  <rowBreaks count="2" manualBreakCount="2">
    <brk id="865" max="8" man="1"/>
    <brk id="949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7"/>
  <sheetViews>
    <sheetView view="pageBreakPreview" zoomScale="115" zoomScaleSheetLayoutView="115" workbookViewId="0">
      <pane ySplit="8" topLeftCell="A324" activePane="bottomLeft" state="frozen"/>
      <selection pane="bottomLeft" activeCell="F160" sqref="F160"/>
    </sheetView>
  </sheetViews>
  <sheetFormatPr defaultColWidth="10.42578125" defaultRowHeight="12.75"/>
  <cols>
    <col min="1" max="1" width="13.7109375" style="835" customWidth="1"/>
    <col min="2" max="2" width="54.5703125" style="835" customWidth="1"/>
    <col min="3" max="8" width="10" style="835" customWidth="1"/>
    <col min="9" max="253" width="10.42578125" style="696"/>
    <col min="254" max="254" width="13.7109375" style="696" customWidth="1"/>
    <col min="255" max="255" width="54.5703125" style="696" customWidth="1"/>
    <col min="256" max="264" width="10" style="696" customWidth="1"/>
    <col min="265" max="509" width="10.42578125" style="696"/>
    <col min="510" max="510" width="13.7109375" style="696" customWidth="1"/>
    <col min="511" max="511" width="54.5703125" style="696" customWidth="1"/>
    <col min="512" max="520" width="10" style="696" customWidth="1"/>
    <col min="521" max="765" width="10.42578125" style="696"/>
    <col min="766" max="766" width="13.7109375" style="696" customWidth="1"/>
    <col min="767" max="767" width="54.5703125" style="696" customWidth="1"/>
    <col min="768" max="776" width="10" style="696" customWidth="1"/>
    <col min="777" max="1021" width="10.42578125" style="696"/>
    <col min="1022" max="1022" width="13.7109375" style="696" customWidth="1"/>
    <col min="1023" max="1023" width="54.5703125" style="696" customWidth="1"/>
    <col min="1024" max="1032" width="10" style="696" customWidth="1"/>
    <col min="1033" max="1277" width="10.42578125" style="696"/>
    <col min="1278" max="1278" width="13.7109375" style="696" customWidth="1"/>
    <col min="1279" max="1279" width="54.5703125" style="696" customWidth="1"/>
    <col min="1280" max="1288" width="10" style="696" customWidth="1"/>
    <col min="1289" max="1533" width="10.42578125" style="696"/>
    <col min="1534" max="1534" width="13.7109375" style="696" customWidth="1"/>
    <col min="1535" max="1535" width="54.5703125" style="696" customWidth="1"/>
    <col min="1536" max="1544" width="10" style="696" customWidth="1"/>
    <col min="1545" max="1789" width="10.42578125" style="696"/>
    <col min="1790" max="1790" width="13.7109375" style="696" customWidth="1"/>
    <col min="1791" max="1791" width="54.5703125" style="696" customWidth="1"/>
    <col min="1792" max="1800" width="10" style="696" customWidth="1"/>
    <col min="1801" max="2045" width="10.42578125" style="696"/>
    <col min="2046" max="2046" width="13.7109375" style="696" customWidth="1"/>
    <col min="2047" max="2047" width="54.5703125" style="696" customWidth="1"/>
    <col min="2048" max="2056" width="10" style="696" customWidth="1"/>
    <col min="2057" max="2301" width="10.42578125" style="696"/>
    <col min="2302" max="2302" width="13.7109375" style="696" customWidth="1"/>
    <col min="2303" max="2303" width="54.5703125" style="696" customWidth="1"/>
    <col min="2304" max="2312" width="10" style="696" customWidth="1"/>
    <col min="2313" max="2557" width="10.42578125" style="696"/>
    <col min="2558" max="2558" width="13.7109375" style="696" customWidth="1"/>
    <col min="2559" max="2559" width="54.5703125" style="696" customWidth="1"/>
    <col min="2560" max="2568" width="10" style="696" customWidth="1"/>
    <col min="2569" max="2813" width="10.42578125" style="696"/>
    <col min="2814" max="2814" width="13.7109375" style="696" customWidth="1"/>
    <col min="2815" max="2815" width="54.5703125" style="696" customWidth="1"/>
    <col min="2816" max="2824" width="10" style="696" customWidth="1"/>
    <col min="2825" max="3069" width="10.42578125" style="696"/>
    <col min="3070" max="3070" width="13.7109375" style="696" customWidth="1"/>
    <col min="3071" max="3071" width="54.5703125" style="696" customWidth="1"/>
    <col min="3072" max="3080" width="10" style="696" customWidth="1"/>
    <col min="3081" max="3325" width="10.42578125" style="696"/>
    <col min="3326" max="3326" width="13.7109375" style="696" customWidth="1"/>
    <col min="3327" max="3327" width="54.5703125" style="696" customWidth="1"/>
    <col min="3328" max="3336" width="10" style="696" customWidth="1"/>
    <col min="3337" max="3581" width="10.42578125" style="696"/>
    <col min="3582" max="3582" width="13.7109375" style="696" customWidth="1"/>
    <col min="3583" max="3583" width="54.5703125" style="696" customWidth="1"/>
    <col min="3584" max="3592" width="10" style="696" customWidth="1"/>
    <col min="3593" max="3837" width="10.42578125" style="696"/>
    <col min="3838" max="3838" width="13.7109375" style="696" customWidth="1"/>
    <col min="3839" max="3839" width="54.5703125" style="696" customWidth="1"/>
    <col min="3840" max="3848" width="10" style="696" customWidth="1"/>
    <col min="3849" max="4093" width="10.42578125" style="696"/>
    <col min="4094" max="4094" width="13.7109375" style="696" customWidth="1"/>
    <col min="4095" max="4095" width="54.5703125" style="696" customWidth="1"/>
    <col min="4096" max="4104" width="10" style="696" customWidth="1"/>
    <col min="4105" max="4349" width="10.42578125" style="696"/>
    <col min="4350" max="4350" width="13.7109375" style="696" customWidth="1"/>
    <col min="4351" max="4351" width="54.5703125" style="696" customWidth="1"/>
    <col min="4352" max="4360" width="10" style="696" customWidth="1"/>
    <col min="4361" max="4605" width="10.42578125" style="696"/>
    <col min="4606" max="4606" width="13.7109375" style="696" customWidth="1"/>
    <col min="4607" max="4607" width="54.5703125" style="696" customWidth="1"/>
    <col min="4608" max="4616" width="10" style="696" customWidth="1"/>
    <col min="4617" max="4861" width="10.42578125" style="696"/>
    <col min="4862" max="4862" width="13.7109375" style="696" customWidth="1"/>
    <col min="4863" max="4863" width="54.5703125" style="696" customWidth="1"/>
    <col min="4864" max="4872" width="10" style="696" customWidth="1"/>
    <col min="4873" max="5117" width="10.42578125" style="696"/>
    <col min="5118" max="5118" width="13.7109375" style="696" customWidth="1"/>
    <col min="5119" max="5119" width="54.5703125" style="696" customWidth="1"/>
    <col min="5120" max="5128" width="10" style="696" customWidth="1"/>
    <col min="5129" max="5373" width="10.42578125" style="696"/>
    <col min="5374" max="5374" width="13.7109375" style="696" customWidth="1"/>
    <col min="5375" max="5375" width="54.5703125" style="696" customWidth="1"/>
    <col min="5376" max="5384" width="10" style="696" customWidth="1"/>
    <col min="5385" max="5629" width="10.42578125" style="696"/>
    <col min="5630" max="5630" width="13.7109375" style="696" customWidth="1"/>
    <col min="5631" max="5631" width="54.5703125" style="696" customWidth="1"/>
    <col min="5632" max="5640" width="10" style="696" customWidth="1"/>
    <col min="5641" max="5885" width="10.42578125" style="696"/>
    <col min="5886" max="5886" width="13.7109375" style="696" customWidth="1"/>
    <col min="5887" max="5887" width="54.5703125" style="696" customWidth="1"/>
    <col min="5888" max="5896" width="10" style="696" customWidth="1"/>
    <col min="5897" max="6141" width="10.42578125" style="696"/>
    <col min="6142" max="6142" width="13.7109375" style="696" customWidth="1"/>
    <col min="6143" max="6143" width="54.5703125" style="696" customWidth="1"/>
    <col min="6144" max="6152" width="10" style="696" customWidth="1"/>
    <col min="6153" max="6397" width="10.42578125" style="696"/>
    <col min="6398" max="6398" width="13.7109375" style="696" customWidth="1"/>
    <col min="6399" max="6399" width="54.5703125" style="696" customWidth="1"/>
    <col min="6400" max="6408" width="10" style="696" customWidth="1"/>
    <col min="6409" max="6653" width="10.42578125" style="696"/>
    <col min="6654" max="6654" width="13.7109375" style="696" customWidth="1"/>
    <col min="6655" max="6655" width="54.5703125" style="696" customWidth="1"/>
    <col min="6656" max="6664" width="10" style="696" customWidth="1"/>
    <col min="6665" max="6909" width="10.42578125" style="696"/>
    <col min="6910" max="6910" width="13.7109375" style="696" customWidth="1"/>
    <col min="6911" max="6911" width="54.5703125" style="696" customWidth="1"/>
    <col min="6912" max="6920" width="10" style="696" customWidth="1"/>
    <col min="6921" max="7165" width="10.42578125" style="696"/>
    <col min="7166" max="7166" width="13.7109375" style="696" customWidth="1"/>
    <col min="7167" max="7167" width="54.5703125" style="696" customWidth="1"/>
    <col min="7168" max="7176" width="10" style="696" customWidth="1"/>
    <col min="7177" max="7421" width="10.42578125" style="696"/>
    <col min="7422" max="7422" width="13.7109375" style="696" customWidth="1"/>
    <col min="7423" max="7423" width="54.5703125" style="696" customWidth="1"/>
    <col min="7424" max="7432" width="10" style="696" customWidth="1"/>
    <col min="7433" max="7677" width="10.42578125" style="696"/>
    <col min="7678" max="7678" width="13.7109375" style="696" customWidth="1"/>
    <col min="7679" max="7679" width="54.5703125" style="696" customWidth="1"/>
    <col min="7680" max="7688" width="10" style="696" customWidth="1"/>
    <col min="7689" max="7933" width="10.42578125" style="696"/>
    <col min="7934" max="7934" width="13.7109375" style="696" customWidth="1"/>
    <col min="7935" max="7935" width="54.5703125" style="696" customWidth="1"/>
    <col min="7936" max="7944" width="10" style="696" customWidth="1"/>
    <col min="7945" max="8189" width="10.42578125" style="696"/>
    <col min="8190" max="8190" width="13.7109375" style="696" customWidth="1"/>
    <col min="8191" max="8191" width="54.5703125" style="696" customWidth="1"/>
    <col min="8192" max="8200" width="10" style="696" customWidth="1"/>
    <col min="8201" max="8445" width="10.42578125" style="696"/>
    <col min="8446" max="8446" width="13.7109375" style="696" customWidth="1"/>
    <col min="8447" max="8447" width="54.5703125" style="696" customWidth="1"/>
    <col min="8448" max="8456" width="10" style="696" customWidth="1"/>
    <col min="8457" max="8701" width="10.42578125" style="696"/>
    <col min="8702" max="8702" width="13.7109375" style="696" customWidth="1"/>
    <col min="8703" max="8703" width="54.5703125" style="696" customWidth="1"/>
    <col min="8704" max="8712" width="10" style="696" customWidth="1"/>
    <col min="8713" max="8957" width="10.42578125" style="696"/>
    <col min="8958" max="8958" width="13.7109375" style="696" customWidth="1"/>
    <col min="8959" max="8959" width="54.5703125" style="696" customWidth="1"/>
    <col min="8960" max="8968" width="10" style="696" customWidth="1"/>
    <col min="8969" max="9213" width="10.42578125" style="696"/>
    <col min="9214" max="9214" width="13.7109375" style="696" customWidth="1"/>
    <col min="9215" max="9215" width="54.5703125" style="696" customWidth="1"/>
    <col min="9216" max="9224" width="10" style="696" customWidth="1"/>
    <col min="9225" max="9469" width="10.42578125" style="696"/>
    <col min="9470" max="9470" width="13.7109375" style="696" customWidth="1"/>
    <col min="9471" max="9471" width="54.5703125" style="696" customWidth="1"/>
    <col min="9472" max="9480" width="10" style="696" customWidth="1"/>
    <col min="9481" max="9725" width="10.42578125" style="696"/>
    <col min="9726" max="9726" width="13.7109375" style="696" customWidth="1"/>
    <col min="9727" max="9727" width="54.5703125" style="696" customWidth="1"/>
    <col min="9728" max="9736" width="10" style="696" customWidth="1"/>
    <col min="9737" max="9981" width="10.42578125" style="696"/>
    <col min="9982" max="9982" width="13.7109375" style="696" customWidth="1"/>
    <col min="9983" max="9983" width="54.5703125" style="696" customWidth="1"/>
    <col min="9984" max="9992" width="10" style="696" customWidth="1"/>
    <col min="9993" max="10237" width="10.42578125" style="696"/>
    <col min="10238" max="10238" width="13.7109375" style="696" customWidth="1"/>
    <col min="10239" max="10239" width="54.5703125" style="696" customWidth="1"/>
    <col min="10240" max="10248" width="10" style="696" customWidth="1"/>
    <col min="10249" max="10493" width="10.42578125" style="696"/>
    <col min="10494" max="10494" width="13.7109375" style="696" customWidth="1"/>
    <col min="10495" max="10495" width="54.5703125" style="696" customWidth="1"/>
    <col min="10496" max="10504" width="10" style="696" customWidth="1"/>
    <col min="10505" max="10749" width="10.42578125" style="696"/>
    <col min="10750" max="10750" width="13.7109375" style="696" customWidth="1"/>
    <col min="10751" max="10751" width="54.5703125" style="696" customWidth="1"/>
    <col min="10752" max="10760" width="10" style="696" customWidth="1"/>
    <col min="10761" max="11005" width="10.42578125" style="696"/>
    <col min="11006" max="11006" width="13.7109375" style="696" customWidth="1"/>
    <col min="11007" max="11007" width="54.5703125" style="696" customWidth="1"/>
    <col min="11008" max="11016" width="10" style="696" customWidth="1"/>
    <col min="11017" max="11261" width="10.42578125" style="696"/>
    <col min="11262" max="11262" width="13.7109375" style="696" customWidth="1"/>
    <col min="11263" max="11263" width="54.5703125" style="696" customWidth="1"/>
    <col min="11264" max="11272" width="10" style="696" customWidth="1"/>
    <col min="11273" max="11517" width="10.42578125" style="696"/>
    <col min="11518" max="11518" width="13.7109375" style="696" customWidth="1"/>
    <col min="11519" max="11519" width="54.5703125" style="696" customWidth="1"/>
    <col min="11520" max="11528" width="10" style="696" customWidth="1"/>
    <col min="11529" max="11773" width="10.42578125" style="696"/>
    <col min="11774" max="11774" width="13.7109375" style="696" customWidth="1"/>
    <col min="11775" max="11775" width="54.5703125" style="696" customWidth="1"/>
    <col min="11776" max="11784" width="10" style="696" customWidth="1"/>
    <col min="11785" max="12029" width="10.42578125" style="696"/>
    <col min="12030" max="12030" width="13.7109375" style="696" customWidth="1"/>
    <col min="12031" max="12031" width="54.5703125" style="696" customWidth="1"/>
    <col min="12032" max="12040" width="10" style="696" customWidth="1"/>
    <col min="12041" max="12285" width="10.42578125" style="696"/>
    <col min="12286" max="12286" width="13.7109375" style="696" customWidth="1"/>
    <col min="12287" max="12287" width="54.5703125" style="696" customWidth="1"/>
    <col min="12288" max="12296" width="10" style="696" customWidth="1"/>
    <col min="12297" max="12541" width="10.42578125" style="696"/>
    <col min="12542" max="12542" width="13.7109375" style="696" customWidth="1"/>
    <col min="12543" max="12543" width="54.5703125" style="696" customWidth="1"/>
    <col min="12544" max="12552" width="10" style="696" customWidth="1"/>
    <col min="12553" max="12797" width="10.42578125" style="696"/>
    <col min="12798" max="12798" width="13.7109375" style="696" customWidth="1"/>
    <col min="12799" max="12799" width="54.5703125" style="696" customWidth="1"/>
    <col min="12800" max="12808" width="10" style="696" customWidth="1"/>
    <col min="12809" max="13053" width="10.42578125" style="696"/>
    <col min="13054" max="13054" width="13.7109375" style="696" customWidth="1"/>
    <col min="13055" max="13055" width="54.5703125" style="696" customWidth="1"/>
    <col min="13056" max="13064" width="10" style="696" customWidth="1"/>
    <col min="13065" max="13309" width="10.42578125" style="696"/>
    <col min="13310" max="13310" width="13.7109375" style="696" customWidth="1"/>
    <col min="13311" max="13311" width="54.5703125" style="696" customWidth="1"/>
    <col min="13312" max="13320" width="10" style="696" customWidth="1"/>
    <col min="13321" max="13565" width="10.42578125" style="696"/>
    <col min="13566" max="13566" width="13.7109375" style="696" customWidth="1"/>
    <col min="13567" max="13567" width="54.5703125" style="696" customWidth="1"/>
    <col min="13568" max="13576" width="10" style="696" customWidth="1"/>
    <col min="13577" max="13821" width="10.42578125" style="696"/>
    <col min="13822" max="13822" width="13.7109375" style="696" customWidth="1"/>
    <col min="13823" max="13823" width="54.5703125" style="696" customWidth="1"/>
    <col min="13824" max="13832" width="10" style="696" customWidth="1"/>
    <col min="13833" max="14077" width="10.42578125" style="696"/>
    <col min="14078" max="14078" width="13.7109375" style="696" customWidth="1"/>
    <col min="14079" max="14079" width="54.5703125" style="696" customWidth="1"/>
    <col min="14080" max="14088" width="10" style="696" customWidth="1"/>
    <col min="14089" max="14333" width="10.42578125" style="696"/>
    <col min="14334" max="14334" width="13.7109375" style="696" customWidth="1"/>
    <col min="14335" max="14335" width="54.5703125" style="696" customWidth="1"/>
    <col min="14336" max="14344" width="10" style="696" customWidth="1"/>
    <col min="14345" max="14589" width="10.42578125" style="696"/>
    <col min="14590" max="14590" width="13.7109375" style="696" customWidth="1"/>
    <col min="14591" max="14591" width="54.5703125" style="696" customWidth="1"/>
    <col min="14592" max="14600" width="10" style="696" customWidth="1"/>
    <col min="14601" max="14845" width="10.42578125" style="696"/>
    <col min="14846" max="14846" width="13.7109375" style="696" customWidth="1"/>
    <col min="14847" max="14847" width="54.5703125" style="696" customWidth="1"/>
    <col min="14848" max="14856" width="10" style="696" customWidth="1"/>
    <col min="14857" max="15101" width="10.42578125" style="696"/>
    <col min="15102" max="15102" width="13.7109375" style="696" customWidth="1"/>
    <col min="15103" max="15103" width="54.5703125" style="696" customWidth="1"/>
    <col min="15104" max="15112" width="10" style="696" customWidth="1"/>
    <col min="15113" max="15357" width="10.42578125" style="696"/>
    <col min="15358" max="15358" width="13.7109375" style="696" customWidth="1"/>
    <col min="15359" max="15359" width="54.5703125" style="696" customWidth="1"/>
    <col min="15360" max="15368" width="10" style="696" customWidth="1"/>
    <col min="15369" max="15613" width="10.42578125" style="696"/>
    <col min="15614" max="15614" width="13.7109375" style="696" customWidth="1"/>
    <col min="15615" max="15615" width="54.5703125" style="696" customWidth="1"/>
    <col min="15616" max="15624" width="10" style="696" customWidth="1"/>
    <col min="15625" max="15869" width="10.42578125" style="696"/>
    <col min="15870" max="15870" width="13.7109375" style="696" customWidth="1"/>
    <col min="15871" max="15871" width="54.5703125" style="696" customWidth="1"/>
    <col min="15872" max="15880" width="10" style="696" customWidth="1"/>
    <col min="15881" max="16125" width="10.42578125" style="696"/>
    <col min="16126" max="16126" width="13.7109375" style="696" customWidth="1"/>
    <col min="16127" max="16127" width="54.5703125" style="696" customWidth="1"/>
    <col min="16128" max="16136" width="10" style="696" customWidth="1"/>
    <col min="16137" max="16384" width="10.42578125" style="696"/>
  </cols>
  <sheetData>
    <row r="1" spans="1:8">
      <c r="A1" s="691"/>
      <c r="B1" s="692" t="s">
        <v>187</v>
      </c>
      <c r="C1" s="690" t="s">
        <v>1869</v>
      </c>
      <c r="D1" s="693"/>
      <c r="E1" s="693"/>
      <c r="F1" s="693"/>
      <c r="G1" s="694"/>
      <c r="H1" s="695"/>
    </row>
    <row r="2" spans="1:8">
      <c r="A2" s="691"/>
      <c r="B2" s="692" t="s">
        <v>188</v>
      </c>
      <c r="C2" s="690">
        <v>17862944</v>
      </c>
      <c r="D2" s="693"/>
      <c r="E2" s="693"/>
      <c r="F2" s="693"/>
      <c r="G2" s="694"/>
      <c r="H2" s="695"/>
    </row>
    <row r="3" spans="1:8">
      <c r="A3" s="691"/>
      <c r="B3" s="692"/>
      <c r="C3" s="690"/>
      <c r="D3" s="693"/>
      <c r="E3" s="693"/>
      <c r="F3" s="693"/>
      <c r="G3" s="694"/>
      <c r="H3" s="695"/>
    </row>
    <row r="4" spans="1:8" ht="14.25">
      <c r="A4" s="691"/>
      <c r="B4" s="692" t="s">
        <v>3395</v>
      </c>
      <c r="C4" s="697" t="s">
        <v>3396</v>
      </c>
      <c r="D4" s="698"/>
      <c r="E4" s="698"/>
      <c r="F4" s="698"/>
      <c r="G4" s="699"/>
      <c r="H4" s="700"/>
    </row>
    <row r="5" spans="1:8" ht="14.25">
      <c r="A5" s="691"/>
      <c r="B5" s="692" t="s">
        <v>229</v>
      </c>
      <c r="C5" s="697"/>
      <c r="D5" s="698"/>
      <c r="E5" s="698"/>
      <c r="F5" s="698"/>
      <c r="G5" s="699"/>
      <c r="H5" s="700"/>
    </row>
    <row r="6" spans="1:8" ht="15.75">
      <c r="A6" s="701"/>
      <c r="B6" s="701"/>
      <c r="C6" s="701"/>
      <c r="D6" s="701"/>
      <c r="E6" s="701"/>
      <c r="F6" s="701"/>
      <c r="G6" s="702"/>
      <c r="H6" s="702"/>
    </row>
    <row r="7" spans="1:8" ht="12.75" customHeight="1" thickBot="1">
      <c r="A7" s="1883" t="s">
        <v>119</v>
      </c>
      <c r="B7" s="1883" t="s">
        <v>231</v>
      </c>
      <c r="C7" s="1884" t="s">
        <v>1784</v>
      </c>
      <c r="D7" s="1884"/>
      <c r="E7" s="1884" t="s">
        <v>1783</v>
      </c>
      <c r="F7" s="1884"/>
      <c r="G7" s="1884" t="s">
        <v>87</v>
      </c>
      <c r="H7" s="1884"/>
    </row>
    <row r="8" spans="1:8" ht="24" thickTop="1" thickBot="1">
      <c r="A8" s="1883"/>
      <c r="B8" s="1883"/>
      <c r="C8" s="703" t="s">
        <v>4078</v>
      </c>
      <c r="D8" s="703" t="s">
        <v>4071</v>
      </c>
      <c r="E8" s="703" t="s">
        <v>4078</v>
      </c>
      <c r="F8" s="703" t="s">
        <v>4071</v>
      </c>
      <c r="G8" s="703" t="s">
        <v>4078</v>
      </c>
      <c r="H8" s="703" t="s">
        <v>4071</v>
      </c>
    </row>
    <row r="9" spans="1:8" ht="15" customHeight="1" thickTop="1">
      <c r="A9" s="704"/>
      <c r="B9" s="705" t="s">
        <v>1908</v>
      </c>
      <c r="C9" s="706"/>
      <c r="D9" s="706"/>
      <c r="E9" s="706"/>
      <c r="F9" s="706"/>
      <c r="G9" s="706"/>
      <c r="H9" s="706"/>
    </row>
    <row r="10" spans="1:8" ht="15" customHeight="1">
      <c r="A10" s="707"/>
      <c r="B10" s="708" t="s">
        <v>2135</v>
      </c>
      <c r="C10" s="709"/>
      <c r="D10" s="709"/>
      <c r="E10" s="710"/>
      <c r="F10" s="710"/>
      <c r="G10" s="710"/>
      <c r="H10" s="710"/>
    </row>
    <row r="11" spans="1:8" ht="15" customHeight="1">
      <c r="A11" s="711"/>
      <c r="B11" s="712" t="s">
        <v>2136</v>
      </c>
      <c r="C11" s="709"/>
      <c r="D11" s="709"/>
      <c r="E11" s="710"/>
      <c r="F11" s="710"/>
      <c r="G11" s="710"/>
      <c r="H11" s="710"/>
    </row>
    <row r="12" spans="1:8" ht="15" customHeight="1">
      <c r="A12" s="713" t="s">
        <v>1911</v>
      </c>
      <c r="B12" s="714" t="s">
        <v>1912</v>
      </c>
      <c r="C12" s="715"/>
      <c r="D12" s="410"/>
      <c r="E12" s="717"/>
      <c r="F12" s="717">
        <v>1</v>
      </c>
      <c r="G12" s="718">
        <f t="shared" ref="G12:G20" si="0">C12+E12</f>
        <v>0</v>
      </c>
      <c r="H12" s="718">
        <f t="shared" ref="H12:H20" si="1">D12+F12</f>
        <v>1</v>
      </c>
    </row>
    <row r="13" spans="1:8" ht="15" customHeight="1">
      <c r="A13" s="719" t="s">
        <v>1913</v>
      </c>
      <c r="B13" s="720" t="s">
        <v>1914</v>
      </c>
      <c r="C13" s="716"/>
      <c r="D13" s="410"/>
      <c r="E13" s="717"/>
      <c r="F13" s="717">
        <v>1</v>
      </c>
      <c r="G13" s="718">
        <f t="shared" si="0"/>
        <v>0</v>
      </c>
      <c r="H13" s="718">
        <f t="shared" si="1"/>
        <v>1</v>
      </c>
    </row>
    <row r="14" spans="1:8" ht="15" customHeight="1">
      <c r="A14" s="713" t="s">
        <v>1919</v>
      </c>
      <c r="B14" s="714" t="s">
        <v>1920</v>
      </c>
      <c r="C14" s="716"/>
      <c r="D14" s="410"/>
      <c r="E14" s="717"/>
      <c r="F14" s="717">
        <v>1</v>
      </c>
      <c r="G14" s="718">
        <f t="shared" si="0"/>
        <v>0</v>
      </c>
      <c r="H14" s="718">
        <f t="shared" si="1"/>
        <v>1</v>
      </c>
    </row>
    <row r="15" spans="1:8" ht="15" customHeight="1">
      <c r="A15" s="719" t="s">
        <v>1929</v>
      </c>
      <c r="B15" s="720" t="s">
        <v>1930</v>
      </c>
      <c r="C15" s="716"/>
      <c r="D15" s="410"/>
      <c r="E15" s="717">
        <v>10</v>
      </c>
      <c r="F15" s="717">
        <v>10</v>
      </c>
      <c r="G15" s="718">
        <f t="shared" si="0"/>
        <v>10</v>
      </c>
      <c r="H15" s="718">
        <f t="shared" si="1"/>
        <v>10</v>
      </c>
    </row>
    <row r="16" spans="1:8" ht="15" customHeight="1">
      <c r="A16" s="713" t="s">
        <v>1972</v>
      </c>
      <c r="B16" s="714" t="s">
        <v>1973</v>
      </c>
      <c r="C16" s="715"/>
      <c r="D16" s="410"/>
      <c r="E16" s="717">
        <v>10</v>
      </c>
      <c r="F16" s="717">
        <v>10</v>
      </c>
      <c r="G16" s="718">
        <f t="shared" si="0"/>
        <v>10</v>
      </c>
      <c r="H16" s="718">
        <f t="shared" si="1"/>
        <v>10</v>
      </c>
    </row>
    <row r="17" spans="1:8" ht="15" customHeight="1">
      <c r="A17" s="713" t="s">
        <v>1980</v>
      </c>
      <c r="B17" s="714" t="s">
        <v>1981</v>
      </c>
      <c r="C17" s="715"/>
      <c r="D17" s="410"/>
      <c r="E17" s="717"/>
      <c r="F17" s="717">
        <v>1</v>
      </c>
      <c r="G17" s="718">
        <f t="shared" si="0"/>
        <v>0</v>
      </c>
      <c r="H17" s="718">
        <f t="shared" si="1"/>
        <v>1</v>
      </c>
    </row>
    <row r="18" spans="1:8" ht="15" customHeight="1">
      <c r="A18" s="713" t="s">
        <v>2002</v>
      </c>
      <c r="B18" s="714" t="s">
        <v>2003</v>
      </c>
      <c r="C18" s="716"/>
      <c r="D18" s="410"/>
      <c r="E18" s="717"/>
      <c r="F18" s="717">
        <v>1</v>
      </c>
      <c r="G18" s="718">
        <f t="shared" si="0"/>
        <v>0</v>
      </c>
      <c r="H18" s="718">
        <f t="shared" si="1"/>
        <v>1</v>
      </c>
    </row>
    <row r="19" spans="1:8" ht="15" customHeight="1">
      <c r="A19" s="713" t="s">
        <v>2018</v>
      </c>
      <c r="B19" s="714" t="s">
        <v>2019</v>
      </c>
      <c r="C19" s="715"/>
      <c r="D19" s="410"/>
      <c r="E19" s="717"/>
      <c r="F19" s="717">
        <v>1</v>
      </c>
      <c r="G19" s="718">
        <f t="shared" si="0"/>
        <v>0</v>
      </c>
      <c r="H19" s="718">
        <f t="shared" si="1"/>
        <v>1</v>
      </c>
    </row>
    <row r="20" spans="1:8" ht="15" customHeight="1">
      <c r="A20" s="721" t="s">
        <v>2</v>
      </c>
      <c r="B20" s="722"/>
      <c r="C20" s="723"/>
      <c r="D20" s="723">
        <f>SUM(D12:D19)</f>
        <v>0</v>
      </c>
      <c r="E20" s="723">
        <f>SUM(E10:E19)</f>
        <v>20</v>
      </c>
      <c r="F20" s="1111">
        <v>26</v>
      </c>
      <c r="G20" s="1112">
        <f t="shared" si="0"/>
        <v>20</v>
      </c>
      <c r="H20" s="1112">
        <f t="shared" si="1"/>
        <v>26</v>
      </c>
    </row>
    <row r="21" spans="1:8" ht="15" customHeight="1">
      <c r="A21" s="724"/>
      <c r="B21" s="725" t="s">
        <v>2137</v>
      </c>
      <c r="C21" s="726"/>
      <c r="D21" s="1005"/>
      <c r="E21" s="726"/>
      <c r="F21" s="726"/>
      <c r="G21" s="710"/>
      <c r="H21" s="710"/>
    </row>
    <row r="22" spans="1:8" ht="15" customHeight="1">
      <c r="A22" s="719" t="s">
        <v>2021</v>
      </c>
      <c r="B22" s="727" t="s">
        <v>2022</v>
      </c>
      <c r="C22" s="715"/>
      <c r="D22" s="410"/>
      <c r="E22" s="717"/>
      <c r="F22" s="717"/>
      <c r="G22" s="718">
        <f t="shared" ref="G22:G63" si="2">C22+E22</f>
        <v>0</v>
      </c>
      <c r="H22" s="718">
        <f t="shared" ref="H22:H63" si="3">D22+F22</f>
        <v>0</v>
      </c>
    </row>
    <row r="23" spans="1:8" ht="15" customHeight="1">
      <c r="A23" s="713" t="s">
        <v>2023</v>
      </c>
      <c r="B23" s="728" t="s">
        <v>2024</v>
      </c>
      <c r="C23" s="715"/>
      <c r="D23" s="410"/>
      <c r="E23" s="717"/>
      <c r="F23" s="717">
        <v>1</v>
      </c>
      <c r="G23" s="718">
        <f t="shared" si="2"/>
        <v>0</v>
      </c>
      <c r="H23" s="718">
        <f t="shared" si="3"/>
        <v>1</v>
      </c>
    </row>
    <row r="24" spans="1:8" ht="15" customHeight="1">
      <c r="A24" s="713" t="s">
        <v>2025</v>
      </c>
      <c r="B24" s="728" t="s">
        <v>2026</v>
      </c>
      <c r="C24" s="715"/>
      <c r="D24" s="410"/>
      <c r="E24" s="717"/>
      <c r="F24" s="717">
        <v>1</v>
      </c>
      <c r="G24" s="718">
        <f t="shared" si="2"/>
        <v>0</v>
      </c>
      <c r="H24" s="718">
        <f t="shared" si="3"/>
        <v>1</v>
      </c>
    </row>
    <row r="25" spans="1:8" ht="15" customHeight="1">
      <c r="A25" s="719" t="s">
        <v>2027</v>
      </c>
      <c r="B25" s="729" t="s">
        <v>2028</v>
      </c>
      <c r="C25" s="715"/>
      <c r="D25" s="410"/>
      <c r="E25" s="717"/>
      <c r="F25" s="717">
        <v>1</v>
      </c>
      <c r="G25" s="718">
        <f t="shared" si="2"/>
        <v>0</v>
      </c>
      <c r="H25" s="718">
        <f t="shared" si="3"/>
        <v>1</v>
      </c>
    </row>
    <row r="26" spans="1:8" ht="15" customHeight="1">
      <c r="A26" s="719" t="s">
        <v>2029</v>
      </c>
      <c r="B26" s="729" t="s">
        <v>2030</v>
      </c>
      <c r="C26" s="715"/>
      <c r="D26" s="410"/>
      <c r="E26" s="717"/>
      <c r="F26" s="717">
        <v>1</v>
      </c>
      <c r="G26" s="718">
        <f t="shared" si="2"/>
        <v>0</v>
      </c>
      <c r="H26" s="718">
        <f t="shared" si="3"/>
        <v>1</v>
      </c>
    </row>
    <row r="27" spans="1:8" ht="15" customHeight="1">
      <c r="A27" s="719" t="s">
        <v>2031</v>
      </c>
      <c r="B27" s="727" t="s">
        <v>2032</v>
      </c>
      <c r="C27" s="715"/>
      <c r="D27" s="410"/>
      <c r="E27" s="717"/>
      <c r="F27" s="717">
        <v>1</v>
      </c>
      <c r="G27" s="718">
        <f t="shared" si="2"/>
        <v>0</v>
      </c>
      <c r="H27" s="718">
        <f t="shared" si="3"/>
        <v>1</v>
      </c>
    </row>
    <row r="28" spans="1:8" ht="15" customHeight="1">
      <c r="A28" s="713" t="s">
        <v>2033</v>
      </c>
      <c r="B28" s="728" t="s">
        <v>2034</v>
      </c>
      <c r="C28" s="715"/>
      <c r="D28" s="410"/>
      <c r="E28" s="717"/>
      <c r="F28" s="717">
        <v>25</v>
      </c>
      <c r="G28" s="718">
        <f t="shared" si="2"/>
        <v>0</v>
      </c>
      <c r="H28" s="718">
        <f t="shared" si="3"/>
        <v>25</v>
      </c>
    </row>
    <row r="29" spans="1:8" ht="15" customHeight="1">
      <c r="A29" s="713" t="s">
        <v>2035</v>
      </c>
      <c r="B29" s="728" t="s">
        <v>2036</v>
      </c>
      <c r="C29" s="715"/>
      <c r="D29" s="410"/>
      <c r="E29" s="717"/>
      <c r="F29" s="717">
        <v>1</v>
      </c>
      <c r="G29" s="718">
        <f t="shared" si="2"/>
        <v>0</v>
      </c>
      <c r="H29" s="718">
        <f t="shared" si="3"/>
        <v>1</v>
      </c>
    </row>
    <row r="30" spans="1:8" ht="15" customHeight="1">
      <c r="A30" s="713" t="s">
        <v>1974</v>
      </c>
      <c r="B30" s="728" t="s">
        <v>2037</v>
      </c>
      <c r="C30" s="715"/>
      <c r="D30" s="410"/>
      <c r="E30" s="717">
        <v>1</v>
      </c>
      <c r="F30" s="717">
        <v>1</v>
      </c>
      <c r="G30" s="718">
        <f t="shared" si="2"/>
        <v>1</v>
      </c>
      <c r="H30" s="718">
        <f t="shared" si="3"/>
        <v>1</v>
      </c>
    </row>
    <row r="31" spans="1:8" ht="15" customHeight="1">
      <c r="A31" s="713" t="s">
        <v>2038</v>
      </c>
      <c r="B31" s="731" t="s">
        <v>2039</v>
      </c>
      <c r="C31" s="715"/>
      <c r="D31" s="410"/>
      <c r="E31" s="717">
        <v>2</v>
      </c>
      <c r="F31" s="717">
        <v>1</v>
      </c>
      <c r="G31" s="718">
        <f t="shared" si="2"/>
        <v>2</v>
      </c>
      <c r="H31" s="718">
        <f t="shared" si="3"/>
        <v>1</v>
      </c>
    </row>
    <row r="32" spans="1:8" ht="15" customHeight="1">
      <c r="A32" s="713" t="s">
        <v>2040</v>
      </c>
      <c r="B32" s="732" t="s">
        <v>2041</v>
      </c>
      <c r="C32" s="715"/>
      <c r="D32" s="433"/>
      <c r="E32" s="717"/>
      <c r="F32" s="717">
        <v>1</v>
      </c>
      <c r="G32" s="718">
        <f t="shared" si="2"/>
        <v>0</v>
      </c>
      <c r="H32" s="718">
        <f t="shared" si="3"/>
        <v>1</v>
      </c>
    </row>
    <row r="33" spans="1:8" ht="15" customHeight="1">
      <c r="A33" s="713" t="s">
        <v>2042</v>
      </c>
      <c r="B33" s="732" t="s">
        <v>2043</v>
      </c>
      <c r="C33" s="715"/>
      <c r="D33" s="433"/>
      <c r="E33" s="717"/>
      <c r="F33" s="717">
        <v>3</v>
      </c>
      <c r="G33" s="718">
        <f t="shared" si="2"/>
        <v>0</v>
      </c>
      <c r="H33" s="718">
        <f t="shared" si="3"/>
        <v>3</v>
      </c>
    </row>
    <row r="34" spans="1:8" ht="15" customHeight="1">
      <c r="A34" s="713" t="s">
        <v>2046</v>
      </c>
      <c r="B34" s="732" t="s">
        <v>2047</v>
      </c>
      <c r="C34" s="715"/>
      <c r="D34" s="433"/>
      <c r="E34" s="717"/>
      <c r="F34" s="717">
        <v>3</v>
      </c>
      <c r="G34" s="718">
        <f t="shared" si="2"/>
        <v>0</v>
      </c>
      <c r="H34" s="718">
        <f t="shared" si="3"/>
        <v>3</v>
      </c>
    </row>
    <row r="35" spans="1:8" ht="15" customHeight="1">
      <c r="A35" s="713" t="s">
        <v>2048</v>
      </c>
      <c r="B35" s="732" t="s">
        <v>2049</v>
      </c>
      <c r="C35" s="715"/>
      <c r="D35" s="433"/>
      <c r="E35" s="717"/>
      <c r="F35" s="717">
        <v>5</v>
      </c>
      <c r="G35" s="718">
        <f t="shared" si="2"/>
        <v>0</v>
      </c>
      <c r="H35" s="718">
        <f t="shared" si="3"/>
        <v>5</v>
      </c>
    </row>
    <row r="36" spans="1:8" ht="15" customHeight="1">
      <c r="A36" s="721" t="s">
        <v>2</v>
      </c>
      <c r="B36" s="722"/>
      <c r="C36" s="733"/>
      <c r="D36" s="733">
        <f>SUM(D22:D35)</f>
        <v>0</v>
      </c>
      <c r="E36" s="733">
        <v>23</v>
      </c>
      <c r="F36" s="733">
        <f>SUM(F22:F35)</f>
        <v>45</v>
      </c>
      <c r="G36" s="1112">
        <f t="shared" si="2"/>
        <v>23</v>
      </c>
      <c r="H36" s="1112">
        <f t="shared" si="3"/>
        <v>45</v>
      </c>
    </row>
    <row r="37" spans="1:8" ht="15" customHeight="1">
      <c r="A37" s="734"/>
      <c r="B37" s="735" t="s">
        <v>2138</v>
      </c>
      <c r="C37" s="736"/>
      <c r="D37" s="1006"/>
      <c r="E37" s="736"/>
      <c r="F37" s="736"/>
      <c r="G37" s="955">
        <f t="shared" si="2"/>
        <v>0</v>
      </c>
      <c r="H37" s="955">
        <f t="shared" si="3"/>
        <v>0</v>
      </c>
    </row>
    <row r="38" spans="1:8" ht="15" customHeight="1">
      <c r="A38" s="737" t="s">
        <v>2054</v>
      </c>
      <c r="B38" s="738" t="s">
        <v>2055</v>
      </c>
      <c r="C38" s="739"/>
      <c r="D38" s="992"/>
      <c r="E38" s="717"/>
      <c r="F38" s="717">
        <v>1</v>
      </c>
      <c r="G38" s="718">
        <f t="shared" si="2"/>
        <v>0</v>
      </c>
      <c r="H38" s="718">
        <f t="shared" si="3"/>
        <v>1</v>
      </c>
    </row>
    <row r="39" spans="1:8" ht="15" customHeight="1">
      <c r="A39" s="713" t="s">
        <v>2056</v>
      </c>
      <c r="B39" s="728" t="s">
        <v>2057</v>
      </c>
      <c r="C39" s="739"/>
      <c r="D39" s="992"/>
      <c r="E39" s="717"/>
      <c r="F39" s="717">
        <v>1</v>
      </c>
      <c r="G39" s="718">
        <f t="shared" si="2"/>
        <v>0</v>
      </c>
      <c r="H39" s="718">
        <f t="shared" si="3"/>
        <v>1</v>
      </c>
    </row>
    <row r="40" spans="1:8" ht="15" customHeight="1">
      <c r="A40" s="713" t="s">
        <v>2060</v>
      </c>
      <c r="B40" s="728" t="s">
        <v>2061</v>
      </c>
      <c r="C40" s="739"/>
      <c r="D40" s="992"/>
      <c r="E40" s="717"/>
      <c r="F40" s="717">
        <v>1</v>
      </c>
      <c r="G40" s="718">
        <f t="shared" si="2"/>
        <v>0</v>
      </c>
      <c r="H40" s="718">
        <f t="shared" si="3"/>
        <v>1</v>
      </c>
    </row>
    <row r="41" spans="1:8" ht="15" customHeight="1">
      <c r="A41" s="713" t="s">
        <v>2071</v>
      </c>
      <c r="B41" s="728" t="s">
        <v>2072</v>
      </c>
      <c r="C41" s="739"/>
      <c r="D41" s="992"/>
      <c r="E41" s="717"/>
      <c r="F41" s="717"/>
      <c r="G41" s="718">
        <f t="shared" si="2"/>
        <v>0</v>
      </c>
      <c r="H41" s="718">
        <f t="shared" si="3"/>
        <v>0</v>
      </c>
    </row>
    <row r="42" spans="1:8" ht="15" customHeight="1">
      <c r="A42" s="713" t="s">
        <v>2073</v>
      </c>
      <c r="B42" s="728" t="s">
        <v>2074</v>
      </c>
      <c r="C42" s="739"/>
      <c r="D42" s="992"/>
      <c r="E42" s="717"/>
      <c r="F42" s="717"/>
      <c r="G42" s="718">
        <f t="shared" si="2"/>
        <v>0</v>
      </c>
      <c r="H42" s="718">
        <f t="shared" si="3"/>
        <v>0</v>
      </c>
    </row>
    <row r="43" spans="1:8" ht="15" customHeight="1">
      <c r="A43" s="737" t="s">
        <v>2086</v>
      </c>
      <c r="B43" s="728" t="s">
        <v>2087</v>
      </c>
      <c r="C43" s="739"/>
      <c r="D43" s="992"/>
      <c r="E43" s="717">
        <v>8</v>
      </c>
      <c r="F43" s="717">
        <v>8</v>
      </c>
      <c r="G43" s="718">
        <f t="shared" si="2"/>
        <v>8</v>
      </c>
      <c r="H43" s="718">
        <f t="shared" si="3"/>
        <v>8</v>
      </c>
    </row>
    <row r="44" spans="1:8" ht="15" customHeight="1">
      <c r="A44" s="737" t="s">
        <v>2088</v>
      </c>
      <c r="B44" s="728" t="s">
        <v>2089</v>
      </c>
      <c r="C44" s="739"/>
      <c r="D44" s="992"/>
      <c r="E44" s="717">
        <v>78</v>
      </c>
      <c r="F44" s="717">
        <v>78</v>
      </c>
      <c r="G44" s="718">
        <f t="shared" si="2"/>
        <v>78</v>
      </c>
      <c r="H44" s="718">
        <f t="shared" si="3"/>
        <v>78</v>
      </c>
    </row>
    <row r="45" spans="1:8" ht="15" customHeight="1">
      <c r="A45" s="737" t="s">
        <v>2090</v>
      </c>
      <c r="B45" s="728" t="s">
        <v>2091</v>
      </c>
      <c r="C45" s="739"/>
      <c r="D45" s="992"/>
      <c r="E45" s="717">
        <v>2</v>
      </c>
      <c r="F45" s="717">
        <v>2</v>
      </c>
      <c r="G45" s="718">
        <f t="shared" si="2"/>
        <v>2</v>
      </c>
      <c r="H45" s="718">
        <f t="shared" si="3"/>
        <v>2</v>
      </c>
    </row>
    <row r="46" spans="1:8" ht="15" customHeight="1">
      <c r="A46" s="737" t="s">
        <v>2092</v>
      </c>
      <c r="B46" s="728" t="s">
        <v>2093</v>
      </c>
      <c r="C46" s="739"/>
      <c r="D46" s="992"/>
      <c r="E46" s="717"/>
      <c r="F46" s="717"/>
      <c r="G46" s="718">
        <f t="shared" si="2"/>
        <v>0</v>
      </c>
      <c r="H46" s="718">
        <f t="shared" si="3"/>
        <v>0</v>
      </c>
    </row>
    <row r="47" spans="1:8" ht="15" customHeight="1">
      <c r="A47" s="713" t="s">
        <v>2094</v>
      </c>
      <c r="B47" s="728" t="s">
        <v>2095</v>
      </c>
      <c r="C47" s="739"/>
      <c r="D47" s="992"/>
      <c r="E47" s="717">
        <v>6</v>
      </c>
      <c r="F47" s="717">
        <v>6</v>
      </c>
      <c r="G47" s="718">
        <f t="shared" si="2"/>
        <v>6</v>
      </c>
      <c r="H47" s="718">
        <f t="shared" si="3"/>
        <v>6</v>
      </c>
    </row>
    <row r="48" spans="1:8" ht="15" customHeight="1">
      <c r="A48" s="737" t="s">
        <v>2096</v>
      </c>
      <c r="B48" s="728" t="s">
        <v>2097</v>
      </c>
      <c r="C48" s="739"/>
      <c r="D48" s="992"/>
      <c r="E48" s="717">
        <v>82</v>
      </c>
      <c r="F48" s="717">
        <v>85</v>
      </c>
      <c r="G48" s="718">
        <f t="shared" si="2"/>
        <v>82</v>
      </c>
      <c r="H48" s="718">
        <f t="shared" si="3"/>
        <v>85</v>
      </c>
    </row>
    <row r="49" spans="1:8" ht="15" customHeight="1">
      <c r="A49" s="737" t="s">
        <v>2098</v>
      </c>
      <c r="B49" s="728" t="s">
        <v>2099</v>
      </c>
      <c r="C49" s="739"/>
      <c r="D49" s="992"/>
      <c r="E49" s="717"/>
      <c r="F49" s="717"/>
      <c r="G49" s="718">
        <f t="shared" si="2"/>
        <v>0</v>
      </c>
      <c r="H49" s="718">
        <f t="shared" si="3"/>
        <v>0</v>
      </c>
    </row>
    <row r="50" spans="1:8" ht="15" customHeight="1">
      <c r="A50" s="713" t="s">
        <v>2100</v>
      </c>
      <c r="B50" s="728" t="s">
        <v>2101</v>
      </c>
      <c r="C50" s="739"/>
      <c r="D50" s="992"/>
      <c r="E50" s="717"/>
      <c r="F50" s="717"/>
      <c r="G50" s="718">
        <f t="shared" si="2"/>
        <v>0</v>
      </c>
      <c r="H50" s="718">
        <f t="shared" si="3"/>
        <v>0</v>
      </c>
    </row>
    <row r="51" spans="1:8" ht="15" customHeight="1">
      <c r="A51" s="737" t="s">
        <v>2102</v>
      </c>
      <c r="B51" s="728" t="s">
        <v>2103</v>
      </c>
      <c r="C51" s="739"/>
      <c r="D51" s="992"/>
      <c r="E51" s="717">
        <v>50</v>
      </c>
      <c r="F51" s="717">
        <v>50</v>
      </c>
      <c r="G51" s="718">
        <f t="shared" si="2"/>
        <v>50</v>
      </c>
      <c r="H51" s="718">
        <f t="shared" si="3"/>
        <v>50</v>
      </c>
    </row>
    <row r="52" spans="1:8" ht="15" customHeight="1">
      <c r="A52" s="737" t="s">
        <v>2104</v>
      </c>
      <c r="B52" s="728" t="s">
        <v>2105</v>
      </c>
      <c r="C52" s="739"/>
      <c r="D52" s="992"/>
      <c r="E52" s="717">
        <v>57</v>
      </c>
      <c r="F52" s="717">
        <v>57</v>
      </c>
      <c r="G52" s="718">
        <f t="shared" si="2"/>
        <v>57</v>
      </c>
      <c r="H52" s="718">
        <f t="shared" si="3"/>
        <v>57</v>
      </c>
    </row>
    <row r="53" spans="1:8" ht="15" customHeight="1">
      <c r="A53" s="737" t="s">
        <v>2106</v>
      </c>
      <c r="B53" s="740" t="s">
        <v>2107</v>
      </c>
      <c r="C53" s="739"/>
      <c r="D53" s="992"/>
      <c r="E53" s="717"/>
      <c r="F53" s="717"/>
      <c r="G53" s="718">
        <f t="shared" si="2"/>
        <v>0</v>
      </c>
      <c r="H53" s="718">
        <f t="shared" si="3"/>
        <v>0</v>
      </c>
    </row>
    <row r="54" spans="1:8" ht="15" customHeight="1">
      <c r="A54" s="741" t="s">
        <v>2</v>
      </c>
      <c r="B54" s="742"/>
      <c r="C54" s="733"/>
      <c r="D54" s="733">
        <f>SUM(D38:D53)</f>
        <v>0</v>
      </c>
      <c r="E54" s="733">
        <f>SUM(E37:E53)</f>
        <v>283</v>
      </c>
      <c r="F54" s="733">
        <f>SUM(F38:F53)</f>
        <v>289</v>
      </c>
      <c r="G54" s="1012">
        <f t="shared" si="2"/>
        <v>283</v>
      </c>
      <c r="H54" s="1012">
        <f t="shared" si="3"/>
        <v>289</v>
      </c>
    </row>
    <row r="55" spans="1:8" ht="15" customHeight="1">
      <c r="A55" s="743"/>
      <c r="B55" s="744" t="s">
        <v>2139</v>
      </c>
      <c r="C55" s="736"/>
      <c r="D55" s="736"/>
      <c r="E55" s="736"/>
      <c r="F55" s="736"/>
      <c r="G55" s="955">
        <f t="shared" si="2"/>
        <v>0</v>
      </c>
      <c r="H55" s="955">
        <f t="shared" si="3"/>
        <v>0</v>
      </c>
    </row>
    <row r="56" spans="1:8" ht="15" customHeight="1">
      <c r="A56" s="713" t="s">
        <v>2111</v>
      </c>
      <c r="B56" s="745" t="s">
        <v>2112</v>
      </c>
      <c r="C56" s="717"/>
      <c r="D56" s="992"/>
      <c r="E56" s="717">
        <v>1</v>
      </c>
      <c r="F56" s="717">
        <v>1</v>
      </c>
      <c r="G56" s="718">
        <f t="shared" si="2"/>
        <v>1</v>
      </c>
      <c r="H56" s="718">
        <f t="shared" si="3"/>
        <v>1</v>
      </c>
    </row>
    <row r="57" spans="1:8" ht="15" customHeight="1">
      <c r="A57" s="713" t="s">
        <v>2113</v>
      </c>
      <c r="B57" s="728" t="s">
        <v>2114</v>
      </c>
      <c r="C57" s="717"/>
      <c r="D57" s="992"/>
      <c r="E57" s="717">
        <v>1</v>
      </c>
      <c r="F57" s="717">
        <v>1</v>
      </c>
      <c r="G57" s="718">
        <f t="shared" si="2"/>
        <v>1</v>
      </c>
      <c r="H57" s="718">
        <f t="shared" si="3"/>
        <v>1</v>
      </c>
    </row>
    <row r="58" spans="1:8" ht="15" customHeight="1">
      <c r="A58" s="719" t="s">
        <v>2117</v>
      </c>
      <c r="B58" s="729" t="s">
        <v>2118</v>
      </c>
      <c r="C58" s="717"/>
      <c r="D58" s="992"/>
      <c r="E58" s="717"/>
      <c r="F58" s="717">
        <v>1</v>
      </c>
      <c r="G58" s="718">
        <f t="shared" si="2"/>
        <v>0</v>
      </c>
      <c r="H58" s="718">
        <f t="shared" si="3"/>
        <v>1</v>
      </c>
    </row>
    <row r="59" spans="1:8" ht="15" customHeight="1">
      <c r="A59" s="713" t="s">
        <v>2119</v>
      </c>
      <c r="B59" s="728" t="s">
        <v>2120</v>
      </c>
      <c r="C59" s="717"/>
      <c r="D59" s="992"/>
      <c r="E59" s="717"/>
      <c r="F59" s="717">
        <v>1</v>
      </c>
      <c r="G59" s="718">
        <f t="shared" si="2"/>
        <v>0</v>
      </c>
      <c r="H59" s="718">
        <f t="shared" si="3"/>
        <v>1</v>
      </c>
    </row>
    <row r="60" spans="1:8" ht="15" customHeight="1">
      <c r="A60" s="713" t="s">
        <v>2123</v>
      </c>
      <c r="B60" s="728" t="s">
        <v>2124</v>
      </c>
      <c r="C60" s="717"/>
      <c r="D60" s="992"/>
      <c r="E60" s="717"/>
      <c r="F60" s="717">
        <v>1</v>
      </c>
      <c r="G60" s="718">
        <f t="shared" si="2"/>
        <v>0</v>
      </c>
      <c r="H60" s="718">
        <f t="shared" si="3"/>
        <v>1</v>
      </c>
    </row>
    <row r="61" spans="1:8" ht="15" customHeight="1">
      <c r="A61" s="713" t="s">
        <v>2129</v>
      </c>
      <c r="B61" s="728" t="s">
        <v>2130</v>
      </c>
      <c r="C61" s="717"/>
      <c r="D61" s="992"/>
      <c r="E61" s="717"/>
      <c r="F61" s="717">
        <v>1</v>
      </c>
      <c r="G61" s="718">
        <f t="shared" si="2"/>
        <v>0</v>
      </c>
      <c r="H61" s="718">
        <f t="shared" si="3"/>
        <v>1</v>
      </c>
    </row>
    <row r="62" spans="1:8" ht="15" customHeight="1">
      <c r="A62" s="719" t="s">
        <v>2131</v>
      </c>
      <c r="B62" s="746" t="s">
        <v>2132</v>
      </c>
      <c r="C62" s="717"/>
      <c r="D62" s="992"/>
      <c r="E62" s="717"/>
      <c r="F62" s="717">
        <v>1</v>
      </c>
      <c r="G62" s="718">
        <f t="shared" si="2"/>
        <v>0</v>
      </c>
      <c r="H62" s="718">
        <f t="shared" si="3"/>
        <v>1</v>
      </c>
    </row>
    <row r="63" spans="1:8" ht="15" customHeight="1" thickBot="1">
      <c r="A63" s="741" t="s">
        <v>2</v>
      </c>
      <c r="B63" s="742"/>
      <c r="C63" s="747"/>
      <c r="D63" s="1099">
        <f>SUM(D56:D62)</f>
        <v>0</v>
      </c>
      <c r="E63" s="1099">
        <f>SUM(E56:E62)</f>
        <v>2</v>
      </c>
      <c r="F63" s="1099">
        <f>SUM(F56:F62)</f>
        <v>7</v>
      </c>
      <c r="G63" s="1112">
        <f t="shared" si="2"/>
        <v>2</v>
      </c>
      <c r="H63" s="1112">
        <f t="shared" si="3"/>
        <v>7</v>
      </c>
    </row>
    <row r="64" spans="1:8" ht="15" customHeight="1" thickBot="1">
      <c r="A64" s="1008"/>
      <c r="B64" s="1009" t="s">
        <v>55</v>
      </c>
      <c r="C64" s="1010"/>
      <c r="D64" s="1011" t="s">
        <v>2140</v>
      </c>
      <c r="E64" s="1010"/>
      <c r="F64" s="1010"/>
      <c r="G64" s="1007"/>
      <c r="H64" s="1007"/>
    </row>
    <row r="65" spans="1:8" ht="15" customHeight="1">
      <c r="A65" s="750"/>
      <c r="B65" s="751" t="s">
        <v>2393</v>
      </c>
      <c r="C65" s="752"/>
      <c r="D65" s="752"/>
      <c r="E65" s="752"/>
      <c r="F65" s="752"/>
      <c r="G65" s="955">
        <f t="shared" ref="G65:G86" si="4">C65+E65</f>
        <v>0</v>
      </c>
      <c r="H65" s="955">
        <f t="shared" ref="H65:H86" si="5">D65+F65</f>
        <v>0</v>
      </c>
    </row>
    <row r="66" spans="1:8" ht="15" customHeight="1">
      <c r="A66" s="753"/>
      <c r="B66" s="754" t="s">
        <v>2394</v>
      </c>
      <c r="C66" s="755"/>
      <c r="D66" s="752"/>
      <c r="E66" s="755"/>
      <c r="F66" s="755"/>
      <c r="G66" s="955">
        <f t="shared" si="4"/>
        <v>0</v>
      </c>
      <c r="H66" s="955">
        <f t="shared" si="5"/>
        <v>0</v>
      </c>
    </row>
    <row r="67" spans="1:8" ht="15" customHeight="1">
      <c r="A67" s="713" t="s">
        <v>2021</v>
      </c>
      <c r="B67" s="714" t="s">
        <v>2142</v>
      </c>
      <c r="C67" s="717"/>
      <c r="D67" s="717"/>
      <c r="E67" s="717"/>
      <c r="F67" s="717">
        <v>1</v>
      </c>
      <c r="G67" s="718">
        <f t="shared" si="4"/>
        <v>0</v>
      </c>
      <c r="H67" s="718">
        <f t="shared" si="5"/>
        <v>1</v>
      </c>
    </row>
    <row r="68" spans="1:8" ht="15" customHeight="1">
      <c r="A68" s="756" t="s">
        <v>2143</v>
      </c>
      <c r="B68" s="757" t="s">
        <v>2144</v>
      </c>
      <c r="C68" s="717"/>
      <c r="D68" s="717"/>
      <c r="E68" s="717">
        <v>1</v>
      </c>
      <c r="F68" s="717">
        <v>2</v>
      </c>
      <c r="G68" s="718">
        <f t="shared" si="4"/>
        <v>1</v>
      </c>
      <c r="H68" s="718">
        <f t="shared" si="5"/>
        <v>2</v>
      </c>
    </row>
    <row r="69" spans="1:8" ht="15" customHeight="1">
      <c r="A69" s="756" t="s">
        <v>2145</v>
      </c>
      <c r="B69" s="757" t="s">
        <v>2146</v>
      </c>
      <c r="C69" s="717"/>
      <c r="D69" s="717"/>
      <c r="E69" s="717"/>
      <c r="F69" s="717"/>
      <c r="G69" s="718">
        <f t="shared" si="4"/>
        <v>0</v>
      </c>
      <c r="H69" s="718">
        <f t="shared" si="5"/>
        <v>0</v>
      </c>
    </row>
    <row r="70" spans="1:8" ht="15" customHeight="1">
      <c r="A70" s="756" t="s">
        <v>2169</v>
      </c>
      <c r="B70" s="757" t="s">
        <v>2170</v>
      </c>
      <c r="C70" s="717"/>
      <c r="D70" s="717"/>
      <c r="E70" s="717">
        <v>2</v>
      </c>
      <c r="F70" s="717"/>
      <c r="G70" s="718">
        <f t="shared" si="4"/>
        <v>2</v>
      </c>
      <c r="H70" s="718">
        <f t="shared" si="5"/>
        <v>0</v>
      </c>
    </row>
    <row r="71" spans="1:8" ht="15" customHeight="1">
      <c r="A71" s="756" t="s">
        <v>2185</v>
      </c>
      <c r="B71" s="757" t="s">
        <v>2186</v>
      </c>
      <c r="C71" s="717"/>
      <c r="D71" s="717"/>
      <c r="E71" s="717">
        <v>2</v>
      </c>
      <c r="F71" s="717">
        <v>2</v>
      </c>
      <c r="G71" s="718">
        <f t="shared" si="4"/>
        <v>2</v>
      </c>
      <c r="H71" s="718">
        <f t="shared" si="5"/>
        <v>2</v>
      </c>
    </row>
    <row r="72" spans="1:8" ht="15" customHeight="1">
      <c r="A72" s="756" t="s">
        <v>2189</v>
      </c>
      <c r="B72" s="757" t="s">
        <v>2190</v>
      </c>
      <c r="C72" s="717"/>
      <c r="D72" s="717"/>
      <c r="E72" s="717">
        <v>10</v>
      </c>
      <c r="F72" s="717">
        <v>10</v>
      </c>
      <c r="G72" s="718">
        <f t="shared" si="4"/>
        <v>10</v>
      </c>
      <c r="H72" s="718">
        <f t="shared" si="5"/>
        <v>10</v>
      </c>
    </row>
    <row r="73" spans="1:8" ht="15" customHeight="1">
      <c r="A73" s="758" t="s">
        <v>2220</v>
      </c>
      <c r="B73" s="759" t="s">
        <v>2221</v>
      </c>
      <c r="C73" s="717"/>
      <c r="D73" s="717"/>
      <c r="E73" s="717">
        <v>1</v>
      </c>
      <c r="F73" s="717">
        <v>2</v>
      </c>
      <c r="G73" s="718">
        <f t="shared" si="4"/>
        <v>1</v>
      </c>
      <c r="H73" s="718">
        <f t="shared" si="5"/>
        <v>2</v>
      </c>
    </row>
    <row r="74" spans="1:8" ht="15" customHeight="1">
      <c r="A74" s="758" t="s">
        <v>1915</v>
      </c>
      <c r="B74" s="759" t="s">
        <v>2222</v>
      </c>
      <c r="C74" s="717"/>
      <c r="D74" s="717"/>
      <c r="E74" s="717">
        <v>48</v>
      </c>
      <c r="F74" s="717">
        <v>50</v>
      </c>
      <c r="G74" s="718">
        <f t="shared" si="4"/>
        <v>48</v>
      </c>
      <c r="H74" s="718">
        <f t="shared" si="5"/>
        <v>50</v>
      </c>
    </row>
    <row r="75" spans="1:8" ht="15" customHeight="1">
      <c r="A75" s="758" t="s">
        <v>2223</v>
      </c>
      <c r="B75" s="759" t="s">
        <v>2224</v>
      </c>
      <c r="C75" s="717"/>
      <c r="D75" s="717"/>
      <c r="E75" s="717"/>
      <c r="F75" s="717"/>
      <c r="G75" s="718">
        <f t="shared" si="4"/>
        <v>0</v>
      </c>
      <c r="H75" s="718">
        <f t="shared" si="5"/>
        <v>0</v>
      </c>
    </row>
    <row r="76" spans="1:8" ht="15" customHeight="1">
      <c r="A76" s="713" t="s">
        <v>2225</v>
      </c>
      <c r="B76" s="714" t="s">
        <v>2226</v>
      </c>
      <c r="C76" s="717"/>
      <c r="D76" s="717"/>
      <c r="E76" s="717"/>
      <c r="F76" s="717"/>
      <c r="G76" s="718">
        <f t="shared" si="4"/>
        <v>0</v>
      </c>
      <c r="H76" s="718">
        <f t="shared" si="5"/>
        <v>0</v>
      </c>
    </row>
    <row r="77" spans="1:8" ht="15" customHeight="1">
      <c r="A77" s="756" t="s">
        <v>2227</v>
      </c>
      <c r="B77" s="757" t="s">
        <v>2228</v>
      </c>
      <c r="C77" s="717"/>
      <c r="D77" s="717"/>
      <c r="E77" s="717">
        <v>5</v>
      </c>
      <c r="F77" s="717">
        <v>5</v>
      </c>
      <c r="G77" s="718">
        <f t="shared" si="4"/>
        <v>5</v>
      </c>
      <c r="H77" s="718">
        <f t="shared" si="5"/>
        <v>5</v>
      </c>
    </row>
    <row r="78" spans="1:8" ht="15" customHeight="1">
      <c r="A78" s="756" t="s">
        <v>2229</v>
      </c>
      <c r="B78" s="757" t="s">
        <v>2230</v>
      </c>
      <c r="C78" s="717"/>
      <c r="D78" s="717"/>
      <c r="E78" s="717"/>
      <c r="F78" s="717">
        <v>2</v>
      </c>
      <c r="G78" s="718">
        <f t="shared" si="4"/>
        <v>0</v>
      </c>
      <c r="H78" s="718">
        <f t="shared" si="5"/>
        <v>2</v>
      </c>
    </row>
    <row r="79" spans="1:8" ht="15" customHeight="1">
      <c r="A79" s="756" t="s">
        <v>2231</v>
      </c>
      <c r="B79" s="757" t="s">
        <v>2232</v>
      </c>
      <c r="C79" s="717"/>
      <c r="D79" s="717"/>
      <c r="E79" s="717"/>
      <c r="F79" s="717"/>
      <c r="G79" s="718">
        <f t="shared" si="4"/>
        <v>0</v>
      </c>
      <c r="H79" s="718">
        <f t="shared" si="5"/>
        <v>0</v>
      </c>
    </row>
    <row r="80" spans="1:8" ht="15" customHeight="1">
      <c r="A80" s="760" t="s">
        <v>2233</v>
      </c>
      <c r="B80" s="757" t="s">
        <v>2234</v>
      </c>
      <c r="C80" s="717"/>
      <c r="D80" s="717"/>
      <c r="E80" s="717">
        <v>10</v>
      </c>
      <c r="F80" s="717">
        <v>10</v>
      </c>
      <c r="G80" s="718">
        <f t="shared" si="4"/>
        <v>10</v>
      </c>
      <c r="H80" s="718">
        <f t="shared" si="5"/>
        <v>10</v>
      </c>
    </row>
    <row r="81" spans="1:8" ht="15" customHeight="1">
      <c r="A81" s="758" t="s">
        <v>2235</v>
      </c>
      <c r="B81" s="759" t="s">
        <v>2236</v>
      </c>
      <c r="C81" s="717"/>
      <c r="D81" s="717"/>
      <c r="E81" s="717"/>
      <c r="F81" s="717"/>
      <c r="G81" s="718">
        <f t="shared" si="4"/>
        <v>0</v>
      </c>
      <c r="H81" s="718">
        <f t="shared" si="5"/>
        <v>0</v>
      </c>
    </row>
    <row r="82" spans="1:8" ht="15" customHeight="1">
      <c r="A82" s="761" t="s">
        <v>150</v>
      </c>
      <c r="B82" s="762" t="s">
        <v>161</v>
      </c>
      <c r="C82" s="717"/>
      <c r="D82" s="717"/>
      <c r="E82" s="717">
        <v>37</v>
      </c>
      <c r="F82" s="717">
        <v>35</v>
      </c>
      <c r="G82" s="718">
        <f t="shared" si="4"/>
        <v>37</v>
      </c>
      <c r="H82" s="718">
        <f t="shared" si="5"/>
        <v>35</v>
      </c>
    </row>
    <row r="83" spans="1:8" ht="15" customHeight="1">
      <c r="A83" s="758" t="s">
        <v>2239</v>
      </c>
      <c r="B83" s="763" t="s">
        <v>2240</v>
      </c>
      <c r="C83" s="717"/>
      <c r="D83" s="717"/>
      <c r="E83" s="717"/>
      <c r="F83" s="717">
        <v>1</v>
      </c>
      <c r="G83" s="718">
        <f t="shared" si="4"/>
        <v>0</v>
      </c>
      <c r="H83" s="718">
        <f t="shared" si="5"/>
        <v>1</v>
      </c>
    </row>
    <row r="84" spans="1:8" ht="15" customHeight="1">
      <c r="A84" s="756" t="s">
        <v>2259</v>
      </c>
      <c r="B84" s="764" t="s">
        <v>2260</v>
      </c>
      <c r="C84" s="717"/>
      <c r="D84" s="717"/>
      <c r="E84" s="717">
        <v>1</v>
      </c>
      <c r="F84" s="717">
        <v>2</v>
      </c>
      <c r="G84" s="718">
        <f t="shared" si="4"/>
        <v>1</v>
      </c>
      <c r="H84" s="718">
        <f t="shared" si="5"/>
        <v>2</v>
      </c>
    </row>
    <row r="85" spans="1:8" ht="15" customHeight="1">
      <c r="A85" s="756" t="s">
        <v>2264</v>
      </c>
      <c r="B85" s="764" t="s">
        <v>2265</v>
      </c>
      <c r="C85" s="717"/>
      <c r="D85" s="717"/>
      <c r="E85" s="717">
        <v>1</v>
      </c>
      <c r="F85" s="717">
        <v>2</v>
      </c>
      <c r="G85" s="718">
        <f t="shared" si="4"/>
        <v>1</v>
      </c>
      <c r="H85" s="718">
        <f t="shared" si="5"/>
        <v>2</v>
      </c>
    </row>
    <row r="86" spans="1:8" ht="15" customHeight="1">
      <c r="A86" s="741" t="s">
        <v>2</v>
      </c>
      <c r="B86" s="765"/>
      <c r="C86" s="747"/>
      <c r="D86" s="1099">
        <f>SUM(D67:D85)</f>
        <v>0</v>
      </c>
      <c r="E86" s="1099">
        <f>SUM(E67:E85)</f>
        <v>118</v>
      </c>
      <c r="F86" s="1099">
        <f>SUM(F65:F85)</f>
        <v>124</v>
      </c>
      <c r="G86" s="1112">
        <f t="shared" si="4"/>
        <v>118</v>
      </c>
      <c r="H86" s="1112">
        <f t="shared" si="5"/>
        <v>124</v>
      </c>
    </row>
    <row r="87" spans="1:8" ht="15" customHeight="1">
      <c r="A87" s="726"/>
      <c r="B87" s="766" t="s">
        <v>2395</v>
      </c>
      <c r="C87" s="736"/>
      <c r="D87" s="736"/>
      <c r="E87" s="736"/>
      <c r="F87" s="736"/>
      <c r="G87" s="955"/>
      <c r="H87" s="955"/>
    </row>
    <row r="88" spans="1:8" ht="15" customHeight="1">
      <c r="A88" s="756" t="s">
        <v>2279</v>
      </c>
      <c r="B88" s="757" t="s">
        <v>2280</v>
      </c>
      <c r="C88" s="717"/>
      <c r="D88" s="717"/>
      <c r="E88" s="717">
        <v>1</v>
      </c>
      <c r="F88" s="717">
        <v>1</v>
      </c>
      <c r="G88" s="718">
        <f t="shared" ref="G88:G113" si="6">C88+E88</f>
        <v>1</v>
      </c>
      <c r="H88" s="718">
        <f t="shared" ref="H88:H113" si="7">D88+F88</f>
        <v>1</v>
      </c>
    </row>
    <row r="89" spans="1:8" ht="15" customHeight="1">
      <c r="A89" s="767" t="s">
        <v>2281</v>
      </c>
      <c r="B89" s="768" t="s">
        <v>2282</v>
      </c>
      <c r="C89" s="717"/>
      <c r="D89" s="717"/>
      <c r="E89" s="717"/>
      <c r="F89" s="717">
        <v>2</v>
      </c>
      <c r="G89" s="718">
        <f t="shared" si="6"/>
        <v>0</v>
      </c>
      <c r="H89" s="718">
        <f t="shared" si="7"/>
        <v>2</v>
      </c>
    </row>
    <row r="90" spans="1:8" ht="15" customHeight="1">
      <c r="A90" s="756" t="s">
        <v>2283</v>
      </c>
      <c r="B90" s="769" t="s">
        <v>2284</v>
      </c>
      <c r="C90" s="717"/>
      <c r="D90" s="717"/>
      <c r="E90" s="717">
        <v>3</v>
      </c>
      <c r="F90" s="717">
        <v>2</v>
      </c>
      <c r="G90" s="718">
        <f t="shared" si="6"/>
        <v>3</v>
      </c>
      <c r="H90" s="718">
        <f t="shared" si="7"/>
        <v>2</v>
      </c>
    </row>
    <row r="91" spans="1:8" ht="15" customHeight="1">
      <c r="A91" s="760" t="s">
        <v>1911</v>
      </c>
      <c r="B91" s="769" t="s">
        <v>2285</v>
      </c>
      <c r="C91" s="717"/>
      <c r="D91" s="717"/>
      <c r="E91" s="717">
        <v>1</v>
      </c>
      <c r="F91" s="717">
        <v>1</v>
      </c>
      <c r="G91" s="718">
        <f t="shared" si="6"/>
        <v>1</v>
      </c>
      <c r="H91" s="718">
        <f t="shared" si="7"/>
        <v>1</v>
      </c>
    </row>
    <row r="92" spans="1:8" ht="15" customHeight="1">
      <c r="A92" s="713" t="s">
        <v>2288</v>
      </c>
      <c r="B92" s="728" t="s">
        <v>2289</v>
      </c>
      <c r="C92" s="717"/>
      <c r="D92" s="717"/>
      <c r="E92" s="717"/>
      <c r="F92" s="717"/>
      <c r="G92" s="718">
        <f t="shared" si="6"/>
        <v>0</v>
      </c>
      <c r="H92" s="718">
        <f t="shared" si="7"/>
        <v>0</v>
      </c>
    </row>
    <row r="93" spans="1:8" ht="15" customHeight="1">
      <c r="A93" s="737" t="s">
        <v>2290</v>
      </c>
      <c r="B93" s="728" t="s">
        <v>2291</v>
      </c>
      <c r="C93" s="717"/>
      <c r="D93" s="717"/>
      <c r="E93" s="717"/>
      <c r="F93" s="717"/>
      <c r="G93" s="718">
        <f t="shared" si="6"/>
        <v>0</v>
      </c>
      <c r="H93" s="718">
        <f t="shared" si="7"/>
        <v>0</v>
      </c>
    </row>
    <row r="94" spans="1:8" ht="15" customHeight="1">
      <c r="A94" s="713" t="s">
        <v>2292</v>
      </c>
      <c r="B94" s="728" t="s">
        <v>2293</v>
      </c>
      <c r="C94" s="717"/>
      <c r="D94" s="717"/>
      <c r="E94" s="717"/>
      <c r="F94" s="717"/>
      <c r="G94" s="718">
        <f t="shared" si="6"/>
        <v>0</v>
      </c>
      <c r="H94" s="718">
        <f t="shared" si="7"/>
        <v>0</v>
      </c>
    </row>
    <row r="95" spans="1:8" ht="15" customHeight="1">
      <c r="A95" s="756" t="s">
        <v>2294</v>
      </c>
      <c r="B95" s="769" t="s">
        <v>2295</v>
      </c>
      <c r="C95" s="717"/>
      <c r="D95" s="717"/>
      <c r="E95" s="717"/>
      <c r="F95" s="717">
        <v>2</v>
      </c>
      <c r="G95" s="718">
        <f t="shared" si="6"/>
        <v>0</v>
      </c>
      <c r="H95" s="718">
        <f t="shared" si="7"/>
        <v>2</v>
      </c>
    </row>
    <row r="96" spans="1:8" ht="15" customHeight="1">
      <c r="A96" s="756" t="s">
        <v>2296</v>
      </c>
      <c r="B96" s="769" t="s">
        <v>2297</v>
      </c>
      <c r="C96" s="717"/>
      <c r="D96" s="717"/>
      <c r="E96" s="717">
        <v>2</v>
      </c>
      <c r="F96" s="717">
        <v>2</v>
      </c>
      <c r="G96" s="718">
        <f t="shared" si="6"/>
        <v>2</v>
      </c>
      <c r="H96" s="718">
        <f t="shared" si="7"/>
        <v>2</v>
      </c>
    </row>
    <row r="97" spans="1:8" ht="15" customHeight="1">
      <c r="A97" s="756" t="s">
        <v>2300</v>
      </c>
      <c r="B97" s="769" t="s">
        <v>2301</v>
      </c>
      <c r="C97" s="717"/>
      <c r="D97" s="717"/>
      <c r="E97" s="717">
        <v>54</v>
      </c>
      <c r="F97" s="717">
        <v>50</v>
      </c>
      <c r="G97" s="718">
        <f t="shared" si="6"/>
        <v>54</v>
      </c>
      <c r="H97" s="718">
        <f t="shared" si="7"/>
        <v>50</v>
      </c>
    </row>
    <row r="98" spans="1:8" ht="15" customHeight="1">
      <c r="A98" s="713" t="s">
        <v>2304</v>
      </c>
      <c r="B98" s="728" t="s">
        <v>2305</v>
      </c>
      <c r="C98" s="717"/>
      <c r="D98" s="717"/>
      <c r="E98" s="717">
        <v>3</v>
      </c>
      <c r="F98" s="717">
        <v>2</v>
      </c>
      <c r="G98" s="718">
        <f t="shared" si="6"/>
        <v>3</v>
      </c>
      <c r="H98" s="718">
        <f t="shared" si="7"/>
        <v>2</v>
      </c>
    </row>
    <row r="99" spans="1:8" ht="15" customHeight="1">
      <c r="A99" s="760" t="s">
        <v>2306</v>
      </c>
      <c r="B99" s="769" t="s">
        <v>2307</v>
      </c>
      <c r="C99" s="717"/>
      <c r="D99" s="717"/>
      <c r="E99" s="717">
        <v>1</v>
      </c>
      <c r="F99" s="717">
        <v>1</v>
      </c>
      <c r="G99" s="718">
        <f t="shared" si="6"/>
        <v>1</v>
      </c>
      <c r="H99" s="718">
        <f t="shared" si="7"/>
        <v>1</v>
      </c>
    </row>
    <row r="100" spans="1:8" ht="15" customHeight="1">
      <c r="A100" s="713" t="s">
        <v>2308</v>
      </c>
      <c r="B100" s="728" t="s">
        <v>2309</v>
      </c>
      <c r="C100" s="717"/>
      <c r="D100" s="717"/>
      <c r="E100" s="717"/>
      <c r="F100" s="717"/>
      <c r="G100" s="718">
        <f t="shared" si="6"/>
        <v>0</v>
      </c>
      <c r="H100" s="718">
        <f t="shared" si="7"/>
        <v>0</v>
      </c>
    </row>
    <row r="101" spans="1:8" ht="15" customHeight="1">
      <c r="A101" s="737" t="s">
        <v>2310</v>
      </c>
      <c r="B101" s="728" t="s">
        <v>2311</v>
      </c>
      <c r="C101" s="717"/>
      <c r="D101" s="717"/>
      <c r="E101" s="717">
        <v>1</v>
      </c>
      <c r="F101" s="717">
        <v>2</v>
      </c>
      <c r="G101" s="718">
        <f t="shared" si="6"/>
        <v>1</v>
      </c>
      <c r="H101" s="718">
        <f t="shared" si="7"/>
        <v>2</v>
      </c>
    </row>
    <row r="102" spans="1:8" ht="15" customHeight="1">
      <c r="A102" s="756" t="s">
        <v>2312</v>
      </c>
      <c r="B102" s="769" t="s">
        <v>2313</v>
      </c>
      <c r="C102" s="717"/>
      <c r="D102" s="717"/>
      <c r="E102" s="717"/>
      <c r="F102" s="717">
        <v>1</v>
      </c>
      <c r="G102" s="718">
        <f t="shared" si="6"/>
        <v>0</v>
      </c>
      <c r="H102" s="718">
        <f t="shared" si="7"/>
        <v>1</v>
      </c>
    </row>
    <row r="103" spans="1:8" ht="15" customHeight="1">
      <c r="A103" s="713" t="s">
        <v>2316</v>
      </c>
      <c r="B103" s="728" t="s">
        <v>2317</v>
      </c>
      <c r="C103" s="717"/>
      <c r="D103" s="717"/>
      <c r="E103" s="717">
        <v>2</v>
      </c>
      <c r="F103" s="717">
        <v>2</v>
      </c>
      <c r="G103" s="718">
        <f t="shared" si="6"/>
        <v>2</v>
      </c>
      <c r="H103" s="718">
        <f t="shared" si="7"/>
        <v>2</v>
      </c>
    </row>
    <row r="104" spans="1:8" ht="15" customHeight="1">
      <c r="A104" s="713" t="s">
        <v>2320</v>
      </c>
      <c r="B104" s="728" t="s">
        <v>2321</v>
      </c>
      <c r="C104" s="717"/>
      <c r="D104" s="717"/>
      <c r="E104" s="717"/>
      <c r="F104" s="717">
        <v>2</v>
      </c>
      <c r="G104" s="718">
        <f t="shared" si="6"/>
        <v>0</v>
      </c>
      <c r="H104" s="718">
        <f t="shared" si="7"/>
        <v>2</v>
      </c>
    </row>
    <row r="105" spans="1:8" ht="15" customHeight="1">
      <c r="A105" s="713" t="s">
        <v>2322</v>
      </c>
      <c r="B105" s="728" t="s">
        <v>2323</v>
      </c>
      <c r="C105" s="717"/>
      <c r="D105" s="717"/>
      <c r="E105" s="717"/>
      <c r="F105" s="717">
        <v>2</v>
      </c>
      <c r="G105" s="718">
        <f t="shared" si="6"/>
        <v>0</v>
      </c>
      <c r="H105" s="718">
        <f t="shared" si="7"/>
        <v>2</v>
      </c>
    </row>
    <row r="106" spans="1:8" ht="15" customHeight="1">
      <c r="A106" s="713" t="s">
        <v>2324</v>
      </c>
      <c r="B106" s="728" t="s">
        <v>2325</v>
      </c>
      <c r="C106" s="717"/>
      <c r="D106" s="717"/>
      <c r="E106" s="717"/>
      <c r="F106" s="717">
        <v>2</v>
      </c>
      <c r="G106" s="718">
        <f t="shared" si="6"/>
        <v>0</v>
      </c>
      <c r="H106" s="718">
        <f t="shared" si="7"/>
        <v>2</v>
      </c>
    </row>
    <row r="107" spans="1:8" ht="15" customHeight="1">
      <c r="A107" s="756" t="s">
        <v>2326</v>
      </c>
      <c r="B107" s="770" t="s">
        <v>2327</v>
      </c>
      <c r="C107" s="717"/>
      <c r="D107" s="717"/>
      <c r="E107" s="717"/>
      <c r="F107" s="717">
        <v>2</v>
      </c>
      <c r="G107" s="718">
        <f t="shared" si="6"/>
        <v>0</v>
      </c>
      <c r="H107" s="718">
        <f t="shared" si="7"/>
        <v>2</v>
      </c>
    </row>
    <row r="108" spans="1:8" ht="15" customHeight="1">
      <c r="A108" s="756" t="s">
        <v>2328</v>
      </c>
      <c r="B108" s="757" t="s">
        <v>2329</v>
      </c>
      <c r="C108" s="717"/>
      <c r="D108" s="717"/>
      <c r="E108" s="717"/>
      <c r="F108" s="717">
        <v>2</v>
      </c>
      <c r="G108" s="718">
        <f t="shared" si="6"/>
        <v>0</v>
      </c>
      <c r="H108" s="718">
        <f t="shared" si="7"/>
        <v>2</v>
      </c>
    </row>
    <row r="109" spans="1:8" ht="15" customHeight="1">
      <c r="A109" s="713" t="s">
        <v>2330</v>
      </c>
      <c r="B109" s="714" t="s">
        <v>2331</v>
      </c>
      <c r="C109" s="717"/>
      <c r="D109" s="717"/>
      <c r="E109" s="717"/>
      <c r="F109" s="717">
        <v>1</v>
      </c>
      <c r="G109" s="718">
        <f t="shared" si="6"/>
        <v>0</v>
      </c>
      <c r="H109" s="718">
        <f t="shared" si="7"/>
        <v>1</v>
      </c>
    </row>
    <row r="110" spans="1:8" ht="15" customHeight="1">
      <c r="A110" s="713" t="s">
        <v>2332</v>
      </c>
      <c r="B110" s="714" t="s">
        <v>2333</v>
      </c>
      <c r="C110" s="717"/>
      <c r="D110" s="717"/>
      <c r="E110" s="717">
        <v>1</v>
      </c>
      <c r="F110" s="717">
        <v>1</v>
      </c>
      <c r="G110" s="718">
        <f t="shared" si="6"/>
        <v>1</v>
      </c>
      <c r="H110" s="718">
        <f t="shared" si="7"/>
        <v>1</v>
      </c>
    </row>
    <row r="111" spans="1:8" ht="15" customHeight="1">
      <c r="A111" s="713" t="s">
        <v>2336</v>
      </c>
      <c r="B111" s="714" t="s">
        <v>2337</v>
      </c>
      <c r="C111" s="717"/>
      <c r="D111" s="717"/>
      <c r="E111" s="717"/>
      <c r="F111" s="717"/>
      <c r="G111" s="718">
        <f t="shared" si="6"/>
        <v>0</v>
      </c>
      <c r="H111" s="718">
        <f t="shared" si="7"/>
        <v>0</v>
      </c>
    </row>
    <row r="112" spans="1:8" ht="15" customHeight="1">
      <c r="A112" s="713" t="s">
        <v>2048</v>
      </c>
      <c r="B112" s="714" t="s">
        <v>2049</v>
      </c>
      <c r="C112" s="717"/>
      <c r="D112" s="717"/>
      <c r="E112" s="717">
        <v>10</v>
      </c>
      <c r="F112" s="717">
        <v>15</v>
      </c>
      <c r="G112" s="718">
        <f t="shared" si="6"/>
        <v>10</v>
      </c>
      <c r="H112" s="718">
        <f t="shared" si="7"/>
        <v>15</v>
      </c>
    </row>
    <row r="113" spans="1:8" ht="15" customHeight="1">
      <c r="A113" s="741" t="s">
        <v>2</v>
      </c>
      <c r="B113" s="765"/>
      <c r="C113" s="747"/>
      <c r="D113" s="1099">
        <f>SUM(D88:D112)</f>
        <v>0</v>
      </c>
      <c r="E113" s="1099">
        <f>SUM(E88:E112)</f>
        <v>79</v>
      </c>
      <c r="F113" s="1099">
        <f>SUM(F88:F112)</f>
        <v>95</v>
      </c>
      <c r="G113" s="1112">
        <f t="shared" si="6"/>
        <v>79</v>
      </c>
      <c r="H113" s="1112">
        <f t="shared" si="7"/>
        <v>95</v>
      </c>
    </row>
    <row r="114" spans="1:8" ht="15" customHeight="1">
      <c r="A114" s="734"/>
      <c r="B114" s="771" t="s">
        <v>2396</v>
      </c>
      <c r="C114" s="736"/>
      <c r="D114" s="736"/>
      <c r="E114" s="736"/>
      <c r="F114" s="736"/>
      <c r="G114" s="955"/>
      <c r="H114" s="955"/>
    </row>
    <row r="115" spans="1:8" ht="15" customHeight="1">
      <c r="A115" s="713" t="s">
        <v>2342</v>
      </c>
      <c r="B115" s="714" t="s">
        <v>2343</v>
      </c>
      <c r="C115" s="739"/>
      <c r="D115" s="739"/>
      <c r="E115" s="717">
        <v>190</v>
      </c>
      <c r="F115" s="717">
        <v>180</v>
      </c>
      <c r="G115" s="718">
        <f t="shared" ref="G115:G134" si="8">C115+E115</f>
        <v>190</v>
      </c>
      <c r="H115" s="718">
        <f t="shared" ref="H115:H134" si="9">D115+F115</f>
        <v>180</v>
      </c>
    </row>
    <row r="116" spans="1:8" ht="15" customHeight="1">
      <c r="A116" s="737" t="s">
        <v>2054</v>
      </c>
      <c r="B116" s="738" t="s">
        <v>2055</v>
      </c>
      <c r="C116" s="717"/>
      <c r="D116" s="717"/>
      <c r="E116" s="717">
        <v>61</v>
      </c>
      <c r="F116" s="717">
        <v>60</v>
      </c>
      <c r="G116" s="718">
        <f t="shared" si="8"/>
        <v>61</v>
      </c>
      <c r="H116" s="718">
        <f t="shared" si="9"/>
        <v>60</v>
      </c>
    </row>
    <row r="117" spans="1:8" ht="15" customHeight="1">
      <c r="A117" s="713" t="s">
        <v>2056</v>
      </c>
      <c r="B117" s="728" t="s">
        <v>2057</v>
      </c>
      <c r="C117" s="717"/>
      <c r="D117" s="717"/>
      <c r="E117" s="717">
        <v>8</v>
      </c>
      <c r="F117" s="717">
        <v>10</v>
      </c>
      <c r="G117" s="718">
        <f t="shared" si="8"/>
        <v>8</v>
      </c>
      <c r="H117" s="718">
        <f t="shared" si="9"/>
        <v>10</v>
      </c>
    </row>
    <row r="118" spans="1:8" ht="15" customHeight="1">
      <c r="A118" s="737" t="s">
        <v>2060</v>
      </c>
      <c r="B118" s="728" t="s">
        <v>2350</v>
      </c>
      <c r="C118" s="717"/>
      <c r="D118" s="717"/>
      <c r="E118" s="717">
        <v>7</v>
      </c>
      <c r="F118" s="717">
        <v>5</v>
      </c>
      <c r="G118" s="718">
        <f t="shared" si="8"/>
        <v>7</v>
      </c>
      <c r="H118" s="718">
        <f t="shared" si="9"/>
        <v>5</v>
      </c>
    </row>
    <row r="119" spans="1:8" ht="15" customHeight="1">
      <c r="A119" s="713" t="s">
        <v>2351</v>
      </c>
      <c r="B119" s="728" t="s">
        <v>2352</v>
      </c>
      <c r="C119" s="717"/>
      <c r="D119" s="717"/>
      <c r="E119" s="717"/>
      <c r="F119" s="717"/>
      <c r="G119" s="718">
        <f t="shared" si="8"/>
        <v>0</v>
      </c>
      <c r="H119" s="718">
        <f t="shared" si="9"/>
        <v>0</v>
      </c>
    </row>
    <row r="120" spans="1:8" ht="15" customHeight="1">
      <c r="A120" s="713" t="s">
        <v>2065</v>
      </c>
      <c r="B120" s="728" t="s">
        <v>2066</v>
      </c>
      <c r="C120" s="717"/>
      <c r="D120" s="717"/>
      <c r="E120" s="717">
        <v>11</v>
      </c>
      <c r="F120" s="717">
        <v>10</v>
      </c>
      <c r="G120" s="718">
        <f t="shared" si="8"/>
        <v>11</v>
      </c>
      <c r="H120" s="718">
        <f t="shared" si="9"/>
        <v>10</v>
      </c>
    </row>
    <row r="121" spans="1:8" ht="15" customHeight="1">
      <c r="A121" s="713" t="s">
        <v>2359</v>
      </c>
      <c r="B121" s="728" t="s">
        <v>2360</v>
      </c>
      <c r="C121" s="717"/>
      <c r="D121" s="717"/>
      <c r="E121" s="717">
        <v>12</v>
      </c>
      <c r="F121" s="717">
        <v>10</v>
      </c>
      <c r="G121" s="718">
        <f t="shared" si="8"/>
        <v>12</v>
      </c>
      <c r="H121" s="718">
        <f t="shared" si="9"/>
        <v>10</v>
      </c>
    </row>
    <row r="122" spans="1:8" ht="15" customHeight="1">
      <c r="A122" s="713" t="s">
        <v>2361</v>
      </c>
      <c r="B122" s="714" t="s">
        <v>2362</v>
      </c>
      <c r="C122" s="717"/>
      <c r="D122" s="717"/>
      <c r="E122" s="717">
        <v>20</v>
      </c>
      <c r="F122" s="717">
        <v>20</v>
      </c>
      <c r="G122" s="718">
        <f t="shared" si="8"/>
        <v>20</v>
      </c>
      <c r="H122" s="718">
        <f t="shared" si="9"/>
        <v>20</v>
      </c>
    </row>
    <row r="123" spans="1:8" ht="15" customHeight="1">
      <c r="A123" s="713" t="s">
        <v>2050</v>
      </c>
      <c r="B123" s="728" t="s">
        <v>2051</v>
      </c>
      <c r="C123" s="717"/>
      <c r="D123" s="717"/>
      <c r="E123" s="717"/>
      <c r="F123" s="717">
        <v>5</v>
      </c>
      <c r="G123" s="718">
        <f t="shared" si="8"/>
        <v>0</v>
      </c>
      <c r="H123" s="718">
        <f t="shared" si="9"/>
        <v>5</v>
      </c>
    </row>
    <row r="124" spans="1:8" ht="15" customHeight="1">
      <c r="A124" s="713" t="s">
        <v>2090</v>
      </c>
      <c r="B124" s="731" t="s">
        <v>2091</v>
      </c>
      <c r="C124" s="717"/>
      <c r="D124" s="717"/>
      <c r="E124" s="717">
        <v>17</v>
      </c>
      <c r="F124" s="717">
        <v>10</v>
      </c>
      <c r="G124" s="718">
        <f t="shared" si="8"/>
        <v>17</v>
      </c>
      <c r="H124" s="718">
        <f t="shared" si="9"/>
        <v>10</v>
      </c>
    </row>
    <row r="125" spans="1:8" ht="15" customHeight="1">
      <c r="A125" s="737" t="s">
        <v>2092</v>
      </c>
      <c r="B125" s="714" t="s">
        <v>2093</v>
      </c>
      <c r="C125" s="717"/>
      <c r="D125" s="717"/>
      <c r="E125" s="717">
        <v>1</v>
      </c>
      <c r="F125" s="717">
        <v>2</v>
      </c>
      <c r="G125" s="718">
        <f t="shared" si="8"/>
        <v>1</v>
      </c>
      <c r="H125" s="718">
        <f t="shared" si="9"/>
        <v>2</v>
      </c>
    </row>
    <row r="126" spans="1:8" ht="15" customHeight="1">
      <c r="A126" s="737" t="s">
        <v>2094</v>
      </c>
      <c r="B126" s="714" t="s">
        <v>2375</v>
      </c>
      <c r="C126" s="717"/>
      <c r="D126" s="717"/>
      <c r="E126" s="717">
        <v>186</v>
      </c>
      <c r="F126" s="717">
        <v>150</v>
      </c>
      <c r="G126" s="718">
        <f t="shared" si="8"/>
        <v>186</v>
      </c>
      <c r="H126" s="718">
        <f t="shared" si="9"/>
        <v>150</v>
      </c>
    </row>
    <row r="127" spans="1:8" ht="15" customHeight="1">
      <c r="A127" s="737" t="s">
        <v>2096</v>
      </c>
      <c r="B127" s="714" t="s">
        <v>2376</v>
      </c>
      <c r="C127" s="717"/>
      <c r="D127" s="717"/>
      <c r="E127" s="717">
        <v>272</v>
      </c>
      <c r="F127" s="717">
        <v>270</v>
      </c>
      <c r="G127" s="718">
        <f t="shared" si="8"/>
        <v>272</v>
      </c>
      <c r="H127" s="718">
        <f t="shared" si="9"/>
        <v>270</v>
      </c>
    </row>
    <row r="128" spans="1:8" ht="15" customHeight="1">
      <c r="A128" s="737" t="s">
        <v>2098</v>
      </c>
      <c r="B128" s="714" t="s">
        <v>2099</v>
      </c>
      <c r="C128" s="717"/>
      <c r="D128" s="717"/>
      <c r="E128" s="717">
        <v>6</v>
      </c>
      <c r="F128" s="717">
        <v>5</v>
      </c>
      <c r="G128" s="718">
        <f t="shared" si="8"/>
        <v>6</v>
      </c>
      <c r="H128" s="718">
        <f t="shared" si="9"/>
        <v>5</v>
      </c>
    </row>
    <row r="129" spans="1:8" ht="15" customHeight="1">
      <c r="A129" s="713" t="s">
        <v>2100</v>
      </c>
      <c r="B129" s="714" t="s">
        <v>2377</v>
      </c>
      <c r="C129" s="717"/>
      <c r="D129" s="717"/>
      <c r="E129" s="717">
        <v>89</v>
      </c>
      <c r="F129" s="717">
        <v>90</v>
      </c>
      <c r="G129" s="718">
        <f t="shared" si="8"/>
        <v>89</v>
      </c>
      <c r="H129" s="718">
        <f t="shared" si="9"/>
        <v>90</v>
      </c>
    </row>
    <row r="130" spans="1:8" ht="15" customHeight="1">
      <c r="A130" s="737" t="s">
        <v>2102</v>
      </c>
      <c r="B130" s="714" t="s">
        <v>2103</v>
      </c>
      <c r="C130" s="717"/>
      <c r="D130" s="717"/>
      <c r="E130" s="717">
        <v>458</v>
      </c>
      <c r="F130" s="717">
        <v>450</v>
      </c>
      <c r="G130" s="718">
        <f t="shared" si="8"/>
        <v>458</v>
      </c>
      <c r="H130" s="718">
        <f t="shared" si="9"/>
        <v>450</v>
      </c>
    </row>
    <row r="131" spans="1:8" ht="15" customHeight="1">
      <c r="A131" s="713" t="s">
        <v>2104</v>
      </c>
      <c r="B131" s="714" t="s">
        <v>2105</v>
      </c>
      <c r="C131" s="717"/>
      <c r="D131" s="717"/>
      <c r="E131" s="717">
        <v>608</v>
      </c>
      <c r="F131" s="717">
        <v>600</v>
      </c>
      <c r="G131" s="718">
        <f t="shared" si="8"/>
        <v>608</v>
      </c>
      <c r="H131" s="718">
        <f t="shared" si="9"/>
        <v>600</v>
      </c>
    </row>
    <row r="132" spans="1:8" ht="15" customHeight="1">
      <c r="A132" s="737" t="s">
        <v>2106</v>
      </c>
      <c r="B132" s="740" t="s">
        <v>2107</v>
      </c>
      <c r="C132" s="717"/>
      <c r="D132" s="717"/>
      <c r="E132" s="717">
        <v>20</v>
      </c>
      <c r="F132" s="717">
        <v>20</v>
      </c>
      <c r="G132" s="718">
        <f t="shared" si="8"/>
        <v>20</v>
      </c>
      <c r="H132" s="718">
        <f t="shared" si="9"/>
        <v>20</v>
      </c>
    </row>
    <row r="133" spans="1:8" ht="15" customHeight="1">
      <c r="A133" s="713" t="s">
        <v>2382</v>
      </c>
      <c r="B133" s="740" t="s">
        <v>2383</v>
      </c>
      <c r="C133" s="717"/>
      <c r="D133" s="717"/>
      <c r="E133" s="717"/>
      <c r="F133" s="717"/>
      <c r="G133" s="718">
        <f t="shared" si="8"/>
        <v>0</v>
      </c>
      <c r="H133" s="718">
        <f t="shared" si="9"/>
        <v>0</v>
      </c>
    </row>
    <row r="134" spans="1:8" ht="15" customHeight="1">
      <c r="A134" s="741" t="s">
        <v>2</v>
      </c>
      <c r="B134" s="765"/>
      <c r="C134" s="747"/>
      <c r="D134" s="1099">
        <f>SUM(D115:D133)</f>
        <v>0</v>
      </c>
      <c r="E134" s="1099">
        <f>SUM(E115:E133)</f>
        <v>1966</v>
      </c>
      <c r="F134" s="1099">
        <f>SUM(F115:F133)</f>
        <v>1897</v>
      </c>
      <c r="G134" s="1112">
        <f t="shared" si="8"/>
        <v>1966</v>
      </c>
      <c r="H134" s="1112">
        <f t="shared" si="9"/>
        <v>1897</v>
      </c>
    </row>
    <row r="135" spans="1:8" ht="15" customHeight="1">
      <c r="A135" s="743"/>
      <c r="B135" s="744" t="s">
        <v>2397</v>
      </c>
      <c r="C135" s="736"/>
      <c r="D135" s="736"/>
      <c r="E135" s="736"/>
      <c r="F135" s="736"/>
      <c r="G135" s="955"/>
      <c r="H135" s="955"/>
    </row>
    <row r="136" spans="1:8" ht="15" customHeight="1">
      <c r="A136" s="713" t="s">
        <v>2111</v>
      </c>
      <c r="B136" s="745" t="s">
        <v>2112</v>
      </c>
      <c r="C136" s="717"/>
      <c r="D136" s="717"/>
      <c r="E136" s="717">
        <v>11</v>
      </c>
      <c r="F136" s="717">
        <v>5</v>
      </c>
      <c r="G136" s="718">
        <f t="shared" ref="G136:G144" si="10">C136+E136</f>
        <v>11</v>
      </c>
      <c r="H136" s="718">
        <f t="shared" ref="H136:H144" si="11">D136+F136</f>
        <v>5</v>
      </c>
    </row>
    <row r="137" spans="1:8" ht="15" customHeight="1">
      <c r="A137" s="713" t="s">
        <v>2113</v>
      </c>
      <c r="B137" s="714" t="s">
        <v>2114</v>
      </c>
      <c r="C137" s="717"/>
      <c r="D137" s="717"/>
      <c r="E137" s="717">
        <v>51</v>
      </c>
      <c r="F137" s="717">
        <v>50</v>
      </c>
      <c r="G137" s="718">
        <f t="shared" si="10"/>
        <v>51</v>
      </c>
      <c r="H137" s="718">
        <f t="shared" si="11"/>
        <v>50</v>
      </c>
    </row>
    <row r="138" spans="1:8" ht="15" customHeight="1">
      <c r="A138" s="713" t="s">
        <v>2385</v>
      </c>
      <c r="B138" s="714" t="s">
        <v>2386</v>
      </c>
      <c r="C138" s="717"/>
      <c r="D138" s="717"/>
      <c r="E138" s="717">
        <v>36</v>
      </c>
      <c r="F138" s="1685">
        <v>36</v>
      </c>
      <c r="G138" s="718">
        <f t="shared" si="10"/>
        <v>36</v>
      </c>
      <c r="H138" s="718">
        <f t="shared" si="11"/>
        <v>36</v>
      </c>
    </row>
    <row r="139" spans="1:8" ht="15" customHeight="1">
      <c r="A139" s="713" t="s">
        <v>2387</v>
      </c>
      <c r="B139" s="714" t="s">
        <v>2388</v>
      </c>
      <c r="C139" s="717"/>
      <c r="D139" s="717"/>
      <c r="E139" s="717">
        <v>2</v>
      </c>
      <c r="F139" s="717">
        <v>2</v>
      </c>
      <c r="G139" s="718">
        <f t="shared" si="10"/>
        <v>2</v>
      </c>
      <c r="H139" s="718">
        <f t="shared" si="11"/>
        <v>2</v>
      </c>
    </row>
    <row r="140" spans="1:8" ht="15" customHeight="1">
      <c r="A140" s="713" t="s">
        <v>2389</v>
      </c>
      <c r="B140" s="732" t="s">
        <v>2390</v>
      </c>
      <c r="C140" s="717"/>
      <c r="D140" s="717"/>
      <c r="E140" s="717">
        <v>9</v>
      </c>
      <c r="F140" s="717">
        <v>10</v>
      </c>
      <c r="G140" s="718">
        <f t="shared" si="10"/>
        <v>9</v>
      </c>
      <c r="H140" s="718">
        <f t="shared" si="11"/>
        <v>10</v>
      </c>
    </row>
    <row r="141" spans="1:8" ht="15" customHeight="1">
      <c r="A141" s="713" t="s">
        <v>2391</v>
      </c>
      <c r="B141" s="732" t="s">
        <v>2392</v>
      </c>
      <c r="C141" s="717"/>
      <c r="D141" s="717"/>
      <c r="E141" s="717">
        <v>4</v>
      </c>
      <c r="F141" s="717">
        <v>4</v>
      </c>
      <c r="G141" s="718">
        <f t="shared" si="10"/>
        <v>4</v>
      </c>
      <c r="H141" s="718">
        <f t="shared" si="11"/>
        <v>4</v>
      </c>
    </row>
    <row r="142" spans="1:8" ht="15" customHeight="1">
      <c r="A142" s="713" t="s">
        <v>2117</v>
      </c>
      <c r="B142" s="732" t="s">
        <v>2118</v>
      </c>
      <c r="C142" s="717"/>
      <c r="D142" s="717"/>
      <c r="E142" s="717">
        <v>3</v>
      </c>
      <c r="F142" s="717">
        <v>5</v>
      </c>
      <c r="G142" s="718">
        <f t="shared" si="10"/>
        <v>3</v>
      </c>
      <c r="H142" s="718">
        <f t="shared" si="11"/>
        <v>5</v>
      </c>
    </row>
    <row r="143" spans="1:8" ht="15" customHeight="1">
      <c r="A143" s="713" t="s">
        <v>2129</v>
      </c>
      <c r="B143" s="732" t="s">
        <v>2130</v>
      </c>
      <c r="C143" s="717"/>
      <c r="D143" s="717"/>
      <c r="E143" s="717"/>
      <c r="F143" s="717"/>
      <c r="G143" s="718">
        <f t="shared" si="10"/>
        <v>0</v>
      </c>
      <c r="H143" s="718">
        <f t="shared" si="11"/>
        <v>0</v>
      </c>
    </row>
    <row r="144" spans="1:8" ht="15" customHeight="1">
      <c r="A144" s="713" t="s">
        <v>2133</v>
      </c>
      <c r="B144" s="732" t="s">
        <v>2134</v>
      </c>
      <c r="C144" s="717"/>
      <c r="D144" s="717"/>
      <c r="E144" s="717"/>
      <c r="F144" s="717"/>
      <c r="G144" s="718">
        <f t="shared" si="10"/>
        <v>0</v>
      </c>
      <c r="H144" s="718">
        <f t="shared" si="11"/>
        <v>0</v>
      </c>
    </row>
    <row r="145" spans="1:8" ht="15" customHeight="1">
      <c r="A145" s="741" t="s">
        <v>2</v>
      </c>
      <c r="B145" s="772"/>
      <c r="C145" s="747"/>
      <c r="D145" s="1099">
        <f>SUM(D136:D144)</f>
        <v>0</v>
      </c>
      <c r="E145" s="1099">
        <f>SUM(E136:E144)</f>
        <v>116</v>
      </c>
      <c r="F145" s="1099">
        <f>SUM(F136:F144)</f>
        <v>112</v>
      </c>
      <c r="G145" s="1112">
        <f>C145+E145</f>
        <v>116</v>
      </c>
      <c r="H145" s="1112">
        <f>D145+F145</f>
        <v>112</v>
      </c>
    </row>
    <row r="146" spans="1:8" ht="15" customHeight="1">
      <c r="A146" s="748"/>
      <c r="B146" s="773" t="s">
        <v>55</v>
      </c>
      <c r="C146" s="774"/>
      <c r="D146" s="749" t="s">
        <v>2398</v>
      </c>
      <c r="E146" s="774"/>
      <c r="F146" s="774"/>
      <c r="G146" s="1100"/>
      <c r="H146" s="1100"/>
    </row>
    <row r="147" spans="1:8" ht="15" customHeight="1">
      <c r="A147" s="775"/>
      <c r="B147" s="776" t="s">
        <v>2655</v>
      </c>
      <c r="C147" s="752"/>
      <c r="D147" s="752"/>
      <c r="E147" s="752"/>
      <c r="F147" s="752"/>
      <c r="G147" s="955"/>
      <c r="H147" s="955"/>
    </row>
    <row r="148" spans="1:8" ht="15" customHeight="1">
      <c r="A148" s="777"/>
      <c r="B148" s="778" t="s">
        <v>2656</v>
      </c>
      <c r="C148" s="755"/>
      <c r="D148" s="755"/>
      <c r="E148" s="755"/>
      <c r="F148" s="755"/>
      <c r="G148" s="955"/>
      <c r="H148" s="955"/>
    </row>
    <row r="149" spans="1:8" ht="15" customHeight="1">
      <c r="A149" s="713" t="s">
        <v>2400</v>
      </c>
      <c r="B149" s="740" t="s">
        <v>2401</v>
      </c>
      <c r="C149" s="717"/>
      <c r="D149" s="717"/>
      <c r="E149" s="717"/>
      <c r="F149" s="1685">
        <v>5</v>
      </c>
      <c r="G149" s="718">
        <f t="shared" ref="G149:G171" si="12">C149+E149</f>
        <v>0</v>
      </c>
      <c r="H149" s="718">
        <f t="shared" ref="H149:H171" si="13">D149+F149</f>
        <v>5</v>
      </c>
    </row>
    <row r="150" spans="1:8" ht="15" customHeight="1">
      <c r="A150" s="779" t="s">
        <v>1911</v>
      </c>
      <c r="B150" s="780" t="s">
        <v>2402</v>
      </c>
      <c r="C150" s="717"/>
      <c r="D150" s="717"/>
      <c r="E150" s="717"/>
      <c r="F150" s="717"/>
      <c r="G150" s="718">
        <f t="shared" si="12"/>
        <v>0</v>
      </c>
      <c r="H150" s="718">
        <f t="shared" si="13"/>
        <v>0</v>
      </c>
    </row>
    <row r="151" spans="1:8" ht="15" customHeight="1">
      <c r="A151" s="713" t="s">
        <v>2405</v>
      </c>
      <c r="B151" s="728" t="s">
        <v>2406</v>
      </c>
      <c r="C151" s="717"/>
      <c r="D151" s="717"/>
      <c r="E151" s="717"/>
      <c r="F151" s="1685">
        <v>5</v>
      </c>
      <c r="G151" s="718">
        <f t="shared" si="12"/>
        <v>0</v>
      </c>
      <c r="H151" s="718">
        <f t="shared" si="13"/>
        <v>5</v>
      </c>
    </row>
    <row r="152" spans="1:8" ht="15" customHeight="1">
      <c r="A152" s="713" t="s">
        <v>2407</v>
      </c>
      <c r="B152" s="728" t="s">
        <v>2408</v>
      </c>
      <c r="C152" s="717"/>
      <c r="D152" s="717"/>
      <c r="E152" s="717"/>
      <c r="F152" s="717"/>
      <c r="G152" s="718">
        <f t="shared" si="12"/>
        <v>0</v>
      </c>
      <c r="H152" s="718">
        <f t="shared" si="13"/>
        <v>0</v>
      </c>
    </row>
    <row r="153" spans="1:8" ht="15" customHeight="1">
      <c r="A153" s="781" t="s">
        <v>2458</v>
      </c>
      <c r="B153" s="782" t="s">
        <v>2459</v>
      </c>
      <c r="C153" s="717"/>
      <c r="D153" s="717"/>
      <c r="E153" s="717"/>
      <c r="F153" s="1685">
        <v>5</v>
      </c>
      <c r="G153" s="718">
        <f t="shared" si="12"/>
        <v>0</v>
      </c>
      <c r="H153" s="718">
        <f t="shared" si="13"/>
        <v>5</v>
      </c>
    </row>
    <row r="154" spans="1:8" ht="15" customHeight="1">
      <c r="A154" s="781" t="s">
        <v>2460</v>
      </c>
      <c r="B154" s="782" t="s">
        <v>2461</v>
      </c>
      <c r="C154" s="717"/>
      <c r="D154" s="717"/>
      <c r="E154" s="717"/>
      <c r="F154" s="717"/>
      <c r="G154" s="718">
        <f t="shared" si="12"/>
        <v>0</v>
      </c>
      <c r="H154" s="718">
        <f t="shared" si="13"/>
        <v>0</v>
      </c>
    </row>
    <row r="155" spans="1:8" ht="15" customHeight="1">
      <c r="A155" s="781" t="s">
        <v>2462</v>
      </c>
      <c r="B155" s="782" t="s">
        <v>2463</v>
      </c>
      <c r="C155" s="717"/>
      <c r="D155" s="717"/>
      <c r="E155" s="717"/>
      <c r="F155" s="1685">
        <v>5</v>
      </c>
      <c r="G155" s="718">
        <f t="shared" si="12"/>
        <v>0</v>
      </c>
      <c r="H155" s="718">
        <f t="shared" si="13"/>
        <v>5</v>
      </c>
    </row>
    <row r="156" spans="1:8" ht="15" customHeight="1">
      <c r="A156" s="781" t="s">
        <v>2466</v>
      </c>
      <c r="B156" s="782" t="s">
        <v>2467</v>
      </c>
      <c r="C156" s="717"/>
      <c r="D156" s="717"/>
      <c r="E156" s="717"/>
      <c r="F156" s="717"/>
      <c r="G156" s="718">
        <f t="shared" si="12"/>
        <v>0</v>
      </c>
      <c r="H156" s="718">
        <f t="shared" si="13"/>
        <v>0</v>
      </c>
    </row>
    <row r="157" spans="1:8" ht="15" customHeight="1">
      <c r="A157" s="781" t="s">
        <v>2468</v>
      </c>
      <c r="B157" s="782" t="s">
        <v>2469</v>
      </c>
      <c r="C157" s="717"/>
      <c r="D157" s="717"/>
      <c r="E157" s="717"/>
      <c r="F157" s="717"/>
      <c r="G157" s="718">
        <f t="shared" si="12"/>
        <v>0</v>
      </c>
      <c r="H157" s="718">
        <f t="shared" si="13"/>
        <v>0</v>
      </c>
    </row>
    <row r="158" spans="1:8" ht="15" customHeight="1">
      <c r="A158" s="713" t="s">
        <v>2470</v>
      </c>
      <c r="B158" s="728" t="s">
        <v>2471</v>
      </c>
      <c r="C158" s="717"/>
      <c r="D158" s="717"/>
      <c r="E158" s="717"/>
      <c r="F158" s="717"/>
      <c r="G158" s="718">
        <f t="shared" si="12"/>
        <v>0</v>
      </c>
      <c r="H158" s="718">
        <f t="shared" si="13"/>
        <v>0</v>
      </c>
    </row>
    <row r="159" spans="1:8" ht="15" customHeight="1">
      <c r="A159" s="781" t="s">
        <v>2472</v>
      </c>
      <c r="B159" s="782" t="s">
        <v>2473</v>
      </c>
      <c r="C159" s="717"/>
      <c r="D159" s="717"/>
      <c r="E159" s="717"/>
      <c r="F159" s="717"/>
      <c r="G159" s="718">
        <f t="shared" si="12"/>
        <v>0</v>
      </c>
      <c r="H159" s="718">
        <f t="shared" si="13"/>
        <v>0</v>
      </c>
    </row>
    <row r="160" spans="1:8" ht="15" customHeight="1">
      <c r="A160" s="779" t="s">
        <v>2657</v>
      </c>
      <c r="B160" s="780" t="s">
        <v>2483</v>
      </c>
      <c r="C160" s="717"/>
      <c r="D160" s="717"/>
      <c r="E160" s="717"/>
      <c r="F160" s="717"/>
      <c r="G160" s="718">
        <f t="shared" si="12"/>
        <v>0</v>
      </c>
      <c r="H160" s="718">
        <f t="shared" si="13"/>
        <v>0</v>
      </c>
    </row>
    <row r="161" spans="1:8" ht="15" customHeight="1">
      <c r="A161" s="713" t="s">
        <v>2486</v>
      </c>
      <c r="B161" s="728" t="s">
        <v>2487</v>
      </c>
      <c r="C161" s="717"/>
      <c r="D161" s="717"/>
      <c r="E161" s="717"/>
      <c r="F161" s="717"/>
      <c r="G161" s="718">
        <f t="shared" si="12"/>
        <v>0</v>
      </c>
      <c r="H161" s="718">
        <f t="shared" si="13"/>
        <v>0</v>
      </c>
    </row>
    <row r="162" spans="1:8" ht="15" customHeight="1">
      <c r="A162" s="713" t="s">
        <v>2488</v>
      </c>
      <c r="B162" s="728" t="s">
        <v>2489</v>
      </c>
      <c r="C162" s="717"/>
      <c r="D162" s="717"/>
      <c r="E162" s="717"/>
      <c r="F162" s="717"/>
      <c r="G162" s="718">
        <f t="shared" si="12"/>
        <v>0</v>
      </c>
      <c r="H162" s="718">
        <f t="shared" si="13"/>
        <v>0</v>
      </c>
    </row>
    <row r="163" spans="1:8" ht="15" customHeight="1">
      <c r="A163" s="713" t="s">
        <v>2490</v>
      </c>
      <c r="B163" s="731" t="s">
        <v>2491</v>
      </c>
      <c r="C163" s="717"/>
      <c r="D163" s="717"/>
      <c r="E163" s="717"/>
      <c r="F163" s="717"/>
      <c r="G163" s="718">
        <f t="shared" si="12"/>
        <v>0</v>
      </c>
      <c r="H163" s="718">
        <f t="shared" si="13"/>
        <v>0</v>
      </c>
    </row>
    <row r="164" spans="1:8" ht="15" customHeight="1">
      <c r="A164" s="713" t="s">
        <v>2492</v>
      </c>
      <c r="B164" s="728" t="s">
        <v>2493</v>
      </c>
      <c r="C164" s="717"/>
      <c r="D164" s="717"/>
      <c r="E164" s="717"/>
      <c r="F164" s="717"/>
      <c r="G164" s="718">
        <f t="shared" si="12"/>
        <v>0</v>
      </c>
      <c r="H164" s="718">
        <f t="shared" si="13"/>
        <v>0</v>
      </c>
    </row>
    <row r="165" spans="1:8" ht="15" customHeight="1">
      <c r="A165" s="713" t="s">
        <v>2494</v>
      </c>
      <c r="B165" s="731" t="s">
        <v>2495</v>
      </c>
      <c r="C165" s="717"/>
      <c r="D165" s="717"/>
      <c r="E165" s="717"/>
      <c r="F165" s="717"/>
      <c r="G165" s="718">
        <f t="shared" si="12"/>
        <v>0</v>
      </c>
      <c r="H165" s="718">
        <f t="shared" si="13"/>
        <v>0</v>
      </c>
    </row>
    <row r="166" spans="1:8" ht="15" customHeight="1">
      <c r="A166" s="781" t="s">
        <v>2496</v>
      </c>
      <c r="B166" s="783" t="s">
        <v>2497</v>
      </c>
      <c r="C166" s="717"/>
      <c r="D166" s="717"/>
      <c r="E166" s="717"/>
      <c r="F166" s="717"/>
      <c r="G166" s="718">
        <f t="shared" si="12"/>
        <v>0</v>
      </c>
      <c r="H166" s="718">
        <f t="shared" si="13"/>
        <v>0</v>
      </c>
    </row>
    <row r="167" spans="1:8" ht="15" customHeight="1">
      <c r="A167" s="781" t="s">
        <v>2498</v>
      </c>
      <c r="B167" s="783" t="s">
        <v>2499</v>
      </c>
      <c r="C167" s="717"/>
      <c r="D167" s="717"/>
      <c r="E167" s="717"/>
      <c r="F167" s="717"/>
      <c r="G167" s="718">
        <f t="shared" si="12"/>
        <v>0</v>
      </c>
      <c r="H167" s="718">
        <f t="shared" si="13"/>
        <v>0</v>
      </c>
    </row>
    <row r="168" spans="1:8" ht="15" customHeight="1">
      <c r="A168" s="781" t="s">
        <v>2502</v>
      </c>
      <c r="B168" s="784" t="s">
        <v>2503</v>
      </c>
      <c r="C168" s="717"/>
      <c r="D168" s="717"/>
      <c r="E168" s="717"/>
      <c r="F168" s="717"/>
      <c r="G168" s="718">
        <f t="shared" si="12"/>
        <v>0</v>
      </c>
      <c r="H168" s="718">
        <f t="shared" si="13"/>
        <v>0</v>
      </c>
    </row>
    <row r="169" spans="1:8" ht="15" customHeight="1">
      <c r="A169" s="781" t="s">
        <v>2504</v>
      </c>
      <c r="B169" s="783" t="s">
        <v>2505</v>
      </c>
      <c r="C169" s="717"/>
      <c r="D169" s="717"/>
      <c r="E169" s="717"/>
      <c r="F169" s="717"/>
      <c r="G169" s="718">
        <f t="shared" si="12"/>
        <v>0</v>
      </c>
      <c r="H169" s="718">
        <f t="shared" si="13"/>
        <v>0</v>
      </c>
    </row>
    <row r="170" spans="1:8" ht="15" customHeight="1">
      <c r="A170" s="781" t="s">
        <v>2512</v>
      </c>
      <c r="B170" s="783" t="s">
        <v>2513</v>
      </c>
      <c r="C170" s="717"/>
      <c r="D170" s="717"/>
      <c r="E170" s="717"/>
      <c r="F170" s="717"/>
      <c r="G170" s="718">
        <f t="shared" si="12"/>
        <v>0</v>
      </c>
      <c r="H170" s="718">
        <f t="shared" si="13"/>
        <v>0</v>
      </c>
    </row>
    <row r="171" spans="1:8" ht="15" customHeight="1">
      <c r="A171" s="785" t="s">
        <v>2</v>
      </c>
      <c r="B171" s="786"/>
      <c r="C171" s="1099"/>
      <c r="D171" s="1099">
        <f>SUM(D149:D170)</f>
        <v>0</v>
      </c>
      <c r="E171" s="1099"/>
      <c r="F171" s="1099">
        <f>SUM(F149:F170)</f>
        <v>20</v>
      </c>
      <c r="G171" s="1112">
        <f t="shared" si="12"/>
        <v>0</v>
      </c>
      <c r="H171" s="1112">
        <f t="shared" si="13"/>
        <v>20</v>
      </c>
    </row>
    <row r="172" spans="1:8" ht="15" customHeight="1">
      <c r="A172" s="734"/>
      <c r="B172" s="787" t="s">
        <v>2658</v>
      </c>
      <c r="C172" s="736"/>
      <c r="D172" s="736"/>
      <c r="E172" s="736"/>
      <c r="F172" s="736"/>
      <c r="G172" s="955"/>
      <c r="H172" s="955"/>
    </row>
    <row r="173" spans="1:8" ht="15" customHeight="1">
      <c r="A173" s="713" t="s">
        <v>2279</v>
      </c>
      <c r="B173" s="728" t="s">
        <v>2280</v>
      </c>
      <c r="C173" s="717"/>
      <c r="D173" s="717"/>
      <c r="E173" s="717">
        <v>1</v>
      </c>
      <c r="F173" s="717">
        <v>1</v>
      </c>
      <c r="G173" s="718">
        <f t="shared" ref="G173:G204" si="14">C173+E173</f>
        <v>1</v>
      </c>
      <c r="H173" s="718">
        <f t="shared" ref="H173:H204" si="15">D173+F173</f>
        <v>1</v>
      </c>
    </row>
    <row r="174" spans="1:8" ht="15" customHeight="1">
      <c r="A174" s="713" t="s">
        <v>2281</v>
      </c>
      <c r="B174" s="728" t="s">
        <v>2519</v>
      </c>
      <c r="C174" s="717"/>
      <c r="D174" s="717"/>
      <c r="E174" s="717"/>
      <c r="F174" s="717">
        <v>1</v>
      </c>
      <c r="G174" s="718">
        <f t="shared" si="14"/>
        <v>0</v>
      </c>
      <c r="H174" s="718">
        <f t="shared" si="15"/>
        <v>1</v>
      </c>
    </row>
    <row r="175" spans="1:8" ht="15" customHeight="1">
      <c r="A175" s="781" t="s">
        <v>2283</v>
      </c>
      <c r="B175" s="782" t="s">
        <v>2284</v>
      </c>
      <c r="C175" s="717"/>
      <c r="D175" s="717"/>
      <c r="E175" s="717"/>
      <c r="F175" s="717">
        <v>1</v>
      </c>
      <c r="G175" s="718">
        <f t="shared" si="14"/>
        <v>0</v>
      </c>
      <c r="H175" s="718">
        <f t="shared" si="15"/>
        <v>1</v>
      </c>
    </row>
    <row r="176" spans="1:8" ht="15" customHeight="1">
      <c r="A176" s="781" t="s">
        <v>2294</v>
      </c>
      <c r="B176" s="782" t="s">
        <v>2295</v>
      </c>
      <c r="C176" s="717"/>
      <c r="D176" s="717"/>
      <c r="E176" s="717"/>
      <c r="F176" s="717">
        <v>1</v>
      </c>
      <c r="G176" s="718">
        <f t="shared" si="14"/>
        <v>0</v>
      </c>
      <c r="H176" s="718">
        <f t="shared" si="15"/>
        <v>1</v>
      </c>
    </row>
    <row r="177" spans="1:8" ht="15" customHeight="1">
      <c r="A177" s="781" t="s">
        <v>2298</v>
      </c>
      <c r="B177" s="782" t="s">
        <v>2299</v>
      </c>
      <c r="C177" s="717"/>
      <c r="D177" s="717"/>
      <c r="E177" s="717"/>
      <c r="F177" s="717"/>
      <c r="G177" s="718">
        <f t="shared" si="14"/>
        <v>0</v>
      </c>
      <c r="H177" s="718">
        <f t="shared" si="15"/>
        <v>0</v>
      </c>
    </row>
    <row r="178" spans="1:8" ht="15" customHeight="1">
      <c r="A178" s="781" t="s">
        <v>2520</v>
      </c>
      <c r="B178" s="782" t="s">
        <v>2521</v>
      </c>
      <c r="C178" s="717"/>
      <c r="D178" s="717"/>
      <c r="E178" s="717"/>
      <c r="F178" s="717">
        <v>1</v>
      </c>
      <c r="G178" s="718">
        <f t="shared" si="14"/>
        <v>0</v>
      </c>
      <c r="H178" s="718">
        <f t="shared" si="15"/>
        <v>1</v>
      </c>
    </row>
    <row r="179" spans="1:8" ht="15" customHeight="1">
      <c r="A179" s="781" t="s">
        <v>2522</v>
      </c>
      <c r="B179" s="782" t="s">
        <v>2523</v>
      </c>
      <c r="C179" s="717"/>
      <c r="D179" s="717"/>
      <c r="E179" s="717"/>
      <c r="F179" s="717">
        <v>1</v>
      </c>
      <c r="G179" s="718">
        <f t="shared" si="14"/>
        <v>0</v>
      </c>
      <c r="H179" s="718">
        <f t="shared" si="15"/>
        <v>1</v>
      </c>
    </row>
    <row r="180" spans="1:8" ht="15" customHeight="1">
      <c r="A180" s="781" t="s">
        <v>2524</v>
      </c>
      <c r="B180" s="782" t="s">
        <v>2525</v>
      </c>
      <c r="C180" s="717"/>
      <c r="D180" s="717"/>
      <c r="E180" s="717"/>
      <c r="F180" s="717"/>
      <c r="G180" s="718">
        <f t="shared" si="14"/>
        <v>0</v>
      </c>
      <c r="H180" s="718">
        <f t="shared" si="15"/>
        <v>0</v>
      </c>
    </row>
    <row r="181" spans="1:8" ht="15" customHeight="1">
      <c r="A181" s="781" t="s">
        <v>2320</v>
      </c>
      <c r="B181" s="782" t="s">
        <v>2526</v>
      </c>
      <c r="C181" s="717"/>
      <c r="D181" s="717"/>
      <c r="E181" s="717">
        <v>6</v>
      </c>
      <c r="F181" s="717">
        <v>10</v>
      </c>
      <c r="G181" s="718">
        <f t="shared" si="14"/>
        <v>6</v>
      </c>
      <c r="H181" s="718">
        <f t="shared" si="15"/>
        <v>10</v>
      </c>
    </row>
    <row r="182" spans="1:8" ht="15" customHeight="1">
      <c r="A182" s="781" t="s">
        <v>2527</v>
      </c>
      <c r="B182" s="782" t="s">
        <v>2528</v>
      </c>
      <c r="C182" s="717"/>
      <c r="D182" s="717"/>
      <c r="E182" s="717"/>
      <c r="F182" s="717"/>
      <c r="G182" s="718">
        <f t="shared" si="14"/>
        <v>0</v>
      </c>
      <c r="H182" s="718">
        <f t="shared" si="15"/>
        <v>0</v>
      </c>
    </row>
    <row r="183" spans="1:8" ht="15" customHeight="1">
      <c r="A183" s="781" t="s">
        <v>2529</v>
      </c>
      <c r="B183" s="782" t="s">
        <v>2530</v>
      </c>
      <c r="C183" s="717"/>
      <c r="D183" s="717"/>
      <c r="E183" s="717"/>
      <c r="F183" s="717"/>
      <c r="G183" s="718">
        <f t="shared" si="14"/>
        <v>0</v>
      </c>
      <c r="H183" s="718">
        <f t="shared" si="15"/>
        <v>0</v>
      </c>
    </row>
    <row r="184" spans="1:8" ht="15" customHeight="1">
      <c r="A184" s="781" t="s">
        <v>2531</v>
      </c>
      <c r="B184" s="782" t="s">
        <v>2532</v>
      </c>
      <c r="C184" s="717"/>
      <c r="D184" s="717"/>
      <c r="E184" s="717">
        <v>1</v>
      </c>
      <c r="F184" s="717">
        <v>1</v>
      </c>
      <c r="G184" s="718">
        <f t="shared" si="14"/>
        <v>1</v>
      </c>
      <c r="H184" s="718">
        <f t="shared" si="15"/>
        <v>1</v>
      </c>
    </row>
    <row r="185" spans="1:8" ht="15" customHeight="1">
      <c r="A185" s="781" t="s">
        <v>2533</v>
      </c>
      <c r="B185" s="782" t="s">
        <v>2534</v>
      </c>
      <c r="C185" s="717"/>
      <c r="D185" s="717"/>
      <c r="E185" s="717"/>
      <c r="F185" s="717"/>
      <c r="G185" s="718">
        <f t="shared" si="14"/>
        <v>0</v>
      </c>
      <c r="H185" s="718">
        <f t="shared" si="15"/>
        <v>0</v>
      </c>
    </row>
    <row r="186" spans="1:8" ht="15" customHeight="1">
      <c r="A186" s="713" t="s">
        <v>2537</v>
      </c>
      <c r="B186" s="728" t="s">
        <v>2538</v>
      </c>
      <c r="C186" s="717"/>
      <c r="D186" s="717"/>
      <c r="E186" s="717"/>
      <c r="F186" s="717">
        <v>1</v>
      </c>
      <c r="G186" s="718">
        <f t="shared" si="14"/>
        <v>0</v>
      </c>
      <c r="H186" s="718">
        <f t="shared" si="15"/>
        <v>1</v>
      </c>
    </row>
    <row r="187" spans="1:8" ht="15" customHeight="1">
      <c r="A187" s="781" t="s">
        <v>2539</v>
      </c>
      <c r="B187" s="782" t="s">
        <v>2540</v>
      </c>
      <c r="C187" s="717"/>
      <c r="D187" s="717"/>
      <c r="E187" s="717"/>
      <c r="F187" s="717"/>
      <c r="G187" s="718">
        <f t="shared" si="14"/>
        <v>0</v>
      </c>
      <c r="H187" s="718">
        <f t="shared" si="15"/>
        <v>0</v>
      </c>
    </row>
    <row r="188" spans="1:8" ht="15" customHeight="1">
      <c r="A188" s="781" t="s">
        <v>2541</v>
      </c>
      <c r="B188" s="782" t="s">
        <v>2542</v>
      </c>
      <c r="C188" s="717"/>
      <c r="D188" s="717"/>
      <c r="E188" s="717"/>
      <c r="F188" s="717">
        <v>1</v>
      </c>
      <c r="G188" s="718">
        <f t="shared" si="14"/>
        <v>0</v>
      </c>
      <c r="H188" s="718">
        <f t="shared" si="15"/>
        <v>1</v>
      </c>
    </row>
    <row r="189" spans="1:8" ht="15" customHeight="1">
      <c r="A189" s="781" t="s">
        <v>2543</v>
      </c>
      <c r="B189" s="782" t="s">
        <v>2544</v>
      </c>
      <c r="C189" s="717"/>
      <c r="D189" s="717"/>
      <c r="E189" s="717"/>
      <c r="F189" s="717">
        <v>1</v>
      </c>
      <c r="G189" s="718">
        <f t="shared" si="14"/>
        <v>0</v>
      </c>
      <c r="H189" s="718">
        <f t="shared" si="15"/>
        <v>1</v>
      </c>
    </row>
    <row r="190" spans="1:8" ht="15" customHeight="1">
      <c r="A190" s="781" t="s">
        <v>2545</v>
      </c>
      <c r="B190" s="782" t="s">
        <v>2546</v>
      </c>
      <c r="C190" s="717"/>
      <c r="D190" s="717"/>
      <c r="E190" s="717"/>
      <c r="F190" s="717">
        <v>1</v>
      </c>
      <c r="G190" s="718">
        <f t="shared" si="14"/>
        <v>0</v>
      </c>
      <c r="H190" s="718">
        <f t="shared" si="15"/>
        <v>1</v>
      </c>
    </row>
    <row r="191" spans="1:8" ht="15" customHeight="1">
      <c r="A191" s="781" t="s">
        <v>2322</v>
      </c>
      <c r="B191" s="782" t="s">
        <v>2547</v>
      </c>
      <c r="C191" s="717"/>
      <c r="D191" s="717"/>
      <c r="E191" s="717"/>
      <c r="F191" s="717">
        <v>1</v>
      </c>
      <c r="G191" s="718">
        <f t="shared" si="14"/>
        <v>0</v>
      </c>
      <c r="H191" s="718">
        <f t="shared" si="15"/>
        <v>1</v>
      </c>
    </row>
    <row r="192" spans="1:8" ht="15" customHeight="1">
      <c r="A192" s="781" t="s">
        <v>2548</v>
      </c>
      <c r="B192" s="782" t="s">
        <v>2549</v>
      </c>
      <c r="C192" s="717"/>
      <c r="D192" s="717"/>
      <c r="E192" s="717"/>
      <c r="F192" s="717">
        <v>1</v>
      </c>
      <c r="G192" s="718">
        <f t="shared" si="14"/>
        <v>0</v>
      </c>
      <c r="H192" s="718">
        <f t="shared" si="15"/>
        <v>1</v>
      </c>
    </row>
    <row r="193" spans="1:8" ht="15" customHeight="1">
      <c r="A193" s="781" t="s">
        <v>2324</v>
      </c>
      <c r="B193" s="782" t="s">
        <v>2550</v>
      </c>
      <c r="C193" s="717"/>
      <c r="D193" s="717"/>
      <c r="E193" s="717"/>
      <c r="F193" s="717">
        <v>1</v>
      </c>
      <c r="G193" s="718">
        <f t="shared" si="14"/>
        <v>0</v>
      </c>
      <c r="H193" s="718">
        <f t="shared" si="15"/>
        <v>1</v>
      </c>
    </row>
    <row r="194" spans="1:8" ht="15" customHeight="1">
      <c r="A194" s="781" t="s">
        <v>2555</v>
      </c>
      <c r="B194" s="782" t="s">
        <v>2556</v>
      </c>
      <c r="C194" s="717"/>
      <c r="D194" s="717"/>
      <c r="E194" s="717"/>
      <c r="F194" s="717"/>
      <c r="G194" s="718">
        <f t="shared" si="14"/>
        <v>0</v>
      </c>
      <c r="H194" s="718">
        <f t="shared" si="15"/>
        <v>0</v>
      </c>
    </row>
    <row r="195" spans="1:8" ht="15" customHeight="1">
      <c r="A195" s="781" t="s">
        <v>2559</v>
      </c>
      <c r="B195" s="782" t="s">
        <v>2560</v>
      </c>
      <c r="C195" s="717"/>
      <c r="D195" s="717"/>
      <c r="E195" s="717"/>
      <c r="F195" s="717"/>
      <c r="G195" s="718">
        <f t="shared" si="14"/>
        <v>0</v>
      </c>
      <c r="H195" s="718">
        <f t="shared" si="15"/>
        <v>0</v>
      </c>
    </row>
    <row r="196" spans="1:8" ht="15" customHeight="1">
      <c r="A196" s="781" t="s">
        <v>2563</v>
      </c>
      <c r="B196" s="782" t="s">
        <v>2564</v>
      </c>
      <c r="C196" s="717"/>
      <c r="D196" s="717"/>
      <c r="E196" s="717"/>
      <c r="F196" s="717"/>
      <c r="G196" s="718">
        <f t="shared" si="14"/>
        <v>0</v>
      </c>
      <c r="H196" s="718">
        <f t="shared" si="15"/>
        <v>0</v>
      </c>
    </row>
    <row r="197" spans="1:8" ht="15" customHeight="1">
      <c r="A197" s="781" t="s">
        <v>2567</v>
      </c>
      <c r="B197" s="782" t="s">
        <v>2568</v>
      </c>
      <c r="C197" s="717"/>
      <c r="D197" s="717"/>
      <c r="E197" s="717"/>
      <c r="F197" s="717"/>
      <c r="G197" s="718">
        <f t="shared" si="14"/>
        <v>0</v>
      </c>
      <c r="H197" s="718">
        <f t="shared" si="15"/>
        <v>0</v>
      </c>
    </row>
    <row r="198" spans="1:8" ht="15" customHeight="1">
      <c r="A198" s="781" t="s">
        <v>2569</v>
      </c>
      <c r="B198" s="782" t="s">
        <v>2570</v>
      </c>
      <c r="C198" s="717"/>
      <c r="D198" s="717"/>
      <c r="E198" s="717"/>
      <c r="F198" s="717">
        <v>1</v>
      </c>
      <c r="G198" s="718">
        <f t="shared" si="14"/>
        <v>0</v>
      </c>
      <c r="H198" s="718">
        <f t="shared" si="15"/>
        <v>1</v>
      </c>
    </row>
    <row r="199" spans="1:8" ht="15" customHeight="1">
      <c r="A199" s="781" t="s">
        <v>2571</v>
      </c>
      <c r="B199" s="782" t="s">
        <v>2572</v>
      </c>
      <c r="C199" s="717"/>
      <c r="D199" s="717"/>
      <c r="E199" s="717"/>
      <c r="F199" s="717">
        <v>1</v>
      </c>
      <c r="G199" s="718">
        <f t="shared" si="14"/>
        <v>0</v>
      </c>
      <c r="H199" s="718">
        <f t="shared" si="15"/>
        <v>1</v>
      </c>
    </row>
    <row r="200" spans="1:8" ht="15" customHeight="1">
      <c r="A200" s="781" t="s">
        <v>2573</v>
      </c>
      <c r="B200" s="782" t="s">
        <v>2574</v>
      </c>
      <c r="C200" s="717"/>
      <c r="D200" s="717"/>
      <c r="E200" s="717"/>
      <c r="F200" s="717">
        <v>1</v>
      </c>
      <c r="G200" s="718">
        <f t="shared" si="14"/>
        <v>0</v>
      </c>
      <c r="H200" s="718">
        <f t="shared" si="15"/>
        <v>1</v>
      </c>
    </row>
    <row r="201" spans="1:8" ht="15" customHeight="1">
      <c r="A201" s="781" t="s">
        <v>2575</v>
      </c>
      <c r="B201" s="782" t="s">
        <v>2576</v>
      </c>
      <c r="C201" s="717"/>
      <c r="D201" s="717"/>
      <c r="E201" s="717"/>
      <c r="F201" s="717"/>
      <c r="G201" s="718">
        <f t="shared" si="14"/>
        <v>0</v>
      </c>
      <c r="H201" s="718">
        <f t="shared" si="15"/>
        <v>0</v>
      </c>
    </row>
    <row r="202" spans="1:8" ht="15" customHeight="1">
      <c r="A202" s="781" t="s">
        <v>2577</v>
      </c>
      <c r="B202" s="782" t="s">
        <v>2578</v>
      </c>
      <c r="C202" s="717"/>
      <c r="D202" s="717"/>
      <c r="E202" s="717"/>
      <c r="F202" s="717">
        <v>1</v>
      </c>
      <c r="G202" s="718">
        <f t="shared" si="14"/>
        <v>0</v>
      </c>
      <c r="H202" s="718">
        <f t="shared" si="15"/>
        <v>1</v>
      </c>
    </row>
    <row r="203" spans="1:8" ht="15" customHeight="1">
      <c r="A203" s="781" t="s">
        <v>2579</v>
      </c>
      <c r="B203" s="782" t="s">
        <v>2580</v>
      </c>
      <c r="C203" s="717"/>
      <c r="D203" s="717"/>
      <c r="E203" s="717"/>
      <c r="F203" s="717"/>
      <c r="G203" s="718">
        <f t="shared" si="14"/>
        <v>0</v>
      </c>
      <c r="H203" s="718">
        <f t="shared" si="15"/>
        <v>0</v>
      </c>
    </row>
    <row r="204" spans="1:8" ht="15" customHeight="1">
      <c r="A204" s="781" t="s">
        <v>2581</v>
      </c>
      <c r="B204" s="782" t="s">
        <v>2582</v>
      </c>
      <c r="C204" s="717"/>
      <c r="D204" s="717"/>
      <c r="E204" s="717"/>
      <c r="F204" s="717"/>
      <c r="G204" s="718">
        <f t="shared" si="14"/>
        <v>0</v>
      </c>
      <c r="H204" s="718">
        <f t="shared" si="15"/>
        <v>0</v>
      </c>
    </row>
    <row r="205" spans="1:8" ht="15" customHeight="1">
      <c r="A205" s="781" t="s">
        <v>2583</v>
      </c>
      <c r="B205" s="782" t="s">
        <v>2584</v>
      </c>
      <c r="C205" s="717"/>
      <c r="D205" s="717"/>
      <c r="E205" s="717"/>
      <c r="F205" s="717"/>
      <c r="G205" s="718">
        <f t="shared" ref="G205:G228" si="16">C205+E205</f>
        <v>0</v>
      </c>
      <c r="H205" s="718">
        <f t="shared" ref="H205:H228" si="17">D205+F205</f>
        <v>0</v>
      </c>
    </row>
    <row r="206" spans="1:8" ht="15" customHeight="1">
      <c r="A206" s="781" t="s">
        <v>2585</v>
      </c>
      <c r="B206" s="782" t="s">
        <v>2586</v>
      </c>
      <c r="C206" s="717"/>
      <c r="D206" s="717"/>
      <c r="E206" s="717"/>
      <c r="F206" s="717">
        <v>1</v>
      </c>
      <c r="G206" s="718">
        <f t="shared" si="16"/>
        <v>0</v>
      </c>
      <c r="H206" s="718">
        <f t="shared" si="17"/>
        <v>1</v>
      </c>
    </row>
    <row r="207" spans="1:8" ht="15" customHeight="1">
      <c r="A207" s="781" t="s">
        <v>2587</v>
      </c>
      <c r="B207" s="783" t="s">
        <v>2588</v>
      </c>
      <c r="C207" s="717"/>
      <c r="D207" s="717"/>
      <c r="E207" s="717"/>
      <c r="F207" s="717">
        <v>1</v>
      </c>
      <c r="G207" s="718">
        <f t="shared" si="16"/>
        <v>0</v>
      </c>
      <c r="H207" s="718">
        <f t="shared" si="17"/>
        <v>1</v>
      </c>
    </row>
    <row r="208" spans="1:8" ht="15" customHeight="1">
      <c r="A208" s="781" t="s">
        <v>2589</v>
      </c>
      <c r="B208" s="783" t="s">
        <v>2590</v>
      </c>
      <c r="C208" s="717"/>
      <c r="D208" s="717"/>
      <c r="E208" s="717"/>
      <c r="F208" s="717"/>
      <c r="G208" s="718">
        <f t="shared" si="16"/>
        <v>0</v>
      </c>
      <c r="H208" s="718">
        <f t="shared" si="17"/>
        <v>0</v>
      </c>
    </row>
    <row r="209" spans="1:8" ht="15" customHeight="1">
      <c r="A209" s="781" t="s">
        <v>2591</v>
      </c>
      <c r="B209" s="783" t="s">
        <v>2592</v>
      </c>
      <c r="C209" s="717"/>
      <c r="D209" s="717"/>
      <c r="E209" s="717"/>
      <c r="F209" s="717">
        <v>1</v>
      </c>
      <c r="G209" s="718">
        <f t="shared" si="16"/>
        <v>0</v>
      </c>
      <c r="H209" s="718">
        <f t="shared" si="17"/>
        <v>1</v>
      </c>
    </row>
    <row r="210" spans="1:8" ht="15" customHeight="1">
      <c r="A210" s="781" t="s">
        <v>2593</v>
      </c>
      <c r="B210" s="788" t="s">
        <v>2594</v>
      </c>
      <c r="C210" s="717"/>
      <c r="D210" s="717"/>
      <c r="E210" s="717"/>
      <c r="F210" s="717">
        <v>1</v>
      </c>
      <c r="G210" s="718">
        <f t="shared" si="16"/>
        <v>0</v>
      </c>
      <c r="H210" s="718">
        <f t="shared" si="17"/>
        <v>1</v>
      </c>
    </row>
    <row r="211" spans="1:8" ht="15" customHeight="1">
      <c r="A211" s="781" t="s">
        <v>2595</v>
      </c>
      <c r="B211" s="788" t="s">
        <v>2596</v>
      </c>
      <c r="C211" s="717"/>
      <c r="D211" s="717"/>
      <c r="E211" s="717"/>
      <c r="F211" s="717"/>
      <c r="G211" s="718">
        <f t="shared" si="16"/>
        <v>0</v>
      </c>
      <c r="H211" s="718">
        <f t="shared" si="17"/>
        <v>0</v>
      </c>
    </row>
    <row r="212" spans="1:8" ht="15" customHeight="1">
      <c r="A212" s="781" t="s">
        <v>2597</v>
      </c>
      <c r="B212" s="782" t="s">
        <v>2598</v>
      </c>
      <c r="C212" s="717"/>
      <c r="D212" s="717"/>
      <c r="E212" s="717"/>
      <c r="F212" s="717">
        <v>1</v>
      </c>
      <c r="G212" s="718">
        <f t="shared" si="16"/>
        <v>0</v>
      </c>
      <c r="H212" s="718">
        <f t="shared" si="17"/>
        <v>1</v>
      </c>
    </row>
    <row r="213" spans="1:8" ht="15" customHeight="1">
      <c r="A213" s="781" t="s">
        <v>2599</v>
      </c>
      <c r="B213" s="782" t="s">
        <v>2600</v>
      </c>
      <c r="C213" s="717"/>
      <c r="D213" s="717"/>
      <c r="E213" s="717">
        <v>1</v>
      </c>
      <c r="F213" s="717">
        <v>1</v>
      </c>
      <c r="G213" s="718">
        <f t="shared" si="16"/>
        <v>1</v>
      </c>
      <c r="H213" s="718">
        <f t="shared" si="17"/>
        <v>1</v>
      </c>
    </row>
    <row r="214" spans="1:8" ht="15" customHeight="1">
      <c r="A214" s="781" t="s">
        <v>2601</v>
      </c>
      <c r="B214" s="782" t="s">
        <v>2602</v>
      </c>
      <c r="C214" s="717"/>
      <c r="D214" s="717"/>
      <c r="E214" s="717"/>
      <c r="F214" s="717">
        <v>1</v>
      </c>
      <c r="G214" s="718">
        <f t="shared" si="16"/>
        <v>0</v>
      </c>
      <c r="H214" s="718">
        <f t="shared" si="17"/>
        <v>1</v>
      </c>
    </row>
    <row r="215" spans="1:8" ht="15" customHeight="1">
      <c r="A215" s="781" t="s">
        <v>2605</v>
      </c>
      <c r="B215" s="782" t="s">
        <v>2606</v>
      </c>
      <c r="C215" s="717"/>
      <c r="D215" s="717"/>
      <c r="E215" s="717"/>
      <c r="F215" s="717">
        <v>1</v>
      </c>
      <c r="G215" s="718">
        <f t="shared" si="16"/>
        <v>0</v>
      </c>
      <c r="H215" s="718">
        <f t="shared" si="17"/>
        <v>1</v>
      </c>
    </row>
    <row r="216" spans="1:8" ht="15" customHeight="1">
      <c r="A216" s="781" t="s">
        <v>2607</v>
      </c>
      <c r="B216" s="783" t="s">
        <v>2608</v>
      </c>
      <c r="C216" s="717"/>
      <c r="D216" s="717"/>
      <c r="E216" s="717"/>
      <c r="F216" s="717">
        <v>1</v>
      </c>
      <c r="G216" s="718">
        <f t="shared" si="16"/>
        <v>0</v>
      </c>
      <c r="H216" s="718">
        <f t="shared" si="17"/>
        <v>1</v>
      </c>
    </row>
    <row r="217" spans="1:8" ht="15" customHeight="1">
      <c r="A217" s="713" t="s">
        <v>2613</v>
      </c>
      <c r="B217" s="714" t="s">
        <v>2614</v>
      </c>
      <c r="C217" s="717"/>
      <c r="D217" s="717"/>
      <c r="E217" s="717"/>
      <c r="F217" s="717"/>
      <c r="G217" s="718">
        <f t="shared" si="16"/>
        <v>0</v>
      </c>
      <c r="H217" s="718">
        <f t="shared" si="17"/>
        <v>0</v>
      </c>
    </row>
    <row r="218" spans="1:8" ht="15" customHeight="1">
      <c r="A218" s="713" t="s">
        <v>2615</v>
      </c>
      <c r="B218" s="728" t="s">
        <v>2616</v>
      </c>
      <c r="C218" s="717"/>
      <c r="D218" s="717"/>
      <c r="E218" s="717"/>
      <c r="F218" s="717">
        <v>1</v>
      </c>
      <c r="G218" s="718">
        <f t="shared" si="16"/>
        <v>0</v>
      </c>
      <c r="H218" s="718">
        <f t="shared" si="17"/>
        <v>1</v>
      </c>
    </row>
    <row r="219" spans="1:8" ht="15" customHeight="1">
      <c r="A219" s="781" t="s">
        <v>2617</v>
      </c>
      <c r="B219" s="782" t="s">
        <v>2618</v>
      </c>
      <c r="C219" s="717"/>
      <c r="D219" s="717"/>
      <c r="E219" s="717"/>
      <c r="F219" s="717">
        <v>1</v>
      </c>
      <c r="G219" s="718">
        <f t="shared" si="16"/>
        <v>0</v>
      </c>
      <c r="H219" s="718">
        <f t="shared" si="17"/>
        <v>1</v>
      </c>
    </row>
    <row r="220" spans="1:8" ht="15" customHeight="1">
      <c r="A220" s="781" t="s">
        <v>2619</v>
      </c>
      <c r="B220" s="783" t="s">
        <v>2620</v>
      </c>
      <c r="C220" s="717"/>
      <c r="D220" s="717"/>
      <c r="E220" s="717"/>
      <c r="F220" s="717">
        <v>1</v>
      </c>
      <c r="G220" s="718">
        <f t="shared" si="16"/>
        <v>0</v>
      </c>
      <c r="H220" s="718">
        <f t="shared" si="17"/>
        <v>1</v>
      </c>
    </row>
    <row r="221" spans="1:8" ht="15" customHeight="1">
      <c r="A221" s="781" t="s">
        <v>2326</v>
      </c>
      <c r="B221" s="783" t="s">
        <v>2327</v>
      </c>
      <c r="C221" s="717"/>
      <c r="D221" s="717"/>
      <c r="E221" s="717"/>
      <c r="F221" s="717"/>
      <c r="G221" s="718">
        <f t="shared" si="16"/>
        <v>0</v>
      </c>
      <c r="H221" s="718">
        <f t="shared" si="17"/>
        <v>0</v>
      </c>
    </row>
    <row r="222" spans="1:8" ht="15" customHeight="1">
      <c r="A222" s="781" t="s">
        <v>2621</v>
      </c>
      <c r="B222" s="783" t="s">
        <v>2622</v>
      </c>
      <c r="C222" s="717"/>
      <c r="D222" s="717"/>
      <c r="E222" s="717"/>
      <c r="F222" s="717"/>
      <c r="G222" s="718">
        <f t="shared" si="16"/>
        <v>0</v>
      </c>
      <c r="H222" s="718">
        <f t="shared" si="17"/>
        <v>0</v>
      </c>
    </row>
    <row r="223" spans="1:8" ht="15" customHeight="1">
      <c r="A223" s="781" t="s">
        <v>2623</v>
      </c>
      <c r="B223" s="783" t="s">
        <v>2624</v>
      </c>
      <c r="C223" s="717"/>
      <c r="D223" s="717"/>
      <c r="E223" s="717"/>
      <c r="F223" s="717">
        <v>1</v>
      </c>
      <c r="G223" s="718">
        <f t="shared" si="16"/>
        <v>0</v>
      </c>
      <c r="H223" s="718">
        <f t="shared" si="17"/>
        <v>1</v>
      </c>
    </row>
    <row r="224" spans="1:8" ht="15" customHeight="1">
      <c r="A224" s="781" t="s">
        <v>2625</v>
      </c>
      <c r="B224" s="788" t="s">
        <v>2626</v>
      </c>
      <c r="C224" s="717"/>
      <c r="D224" s="717"/>
      <c r="E224" s="717"/>
      <c r="F224" s="717">
        <v>1</v>
      </c>
      <c r="G224" s="718">
        <f t="shared" si="16"/>
        <v>0</v>
      </c>
      <c r="H224" s="718">
        <f t="shared" si="17"/>
        <v>1</v>
      </c>
    </row>
    <row r="225" spans="1:8" ht="15" customHeight="1">
      <c r="A225" s="781" t="s">
        <v>2627</v>
      </c>
      <c r="B225" s="788" t="s">
        <v>2628</v>
      </c>
      <c r="C225" s="717"/>
      <c r="D225" s="717"/>
      <c r="E225" s="717"/>
      <c r="F225" s="717"/>
      <c r="G225" s="718">
        <f t="shared" si="16"/>
        <v>0</v>
      </c>
      <c r="H225" s="718">
        <f t="shared" si="17"/>
        <v>0</v>
      </c>
    </row>
    <row r="226" spans="1:8" ht="15" customHeight="1">
      <c r="A226" s="781" t="s">
        <v>2629</v>
      </c>
      <c r="B226" s="788" t="s">
        <v>2630</v>
      </c>
      <c r="C226" s="717"/>
      <c r="D226" s="717"/>
      <c r="E226" s="717"/>
      <c r="F226" s="717"/>
      <c r="G226" s="718">
        <f t="shared" si="16"/>
        <v>0</v>
      </c>
      <c r="H226" s="718">
        <f t="shared" si="17"/>
        <v>0</v>
      </c>
    </row>
    <row r="227" spans="1:8" ht="15" customHeight="1">
      <c r="A227" s="781" t="s">
        <v>2631</v>
      </c>
      <c r="B227" s="782" t="s">
        <v>2632</v>
      </c>
      <c r="C227" s="717"/>
      <c r="D227" s="717"/>
      <c r="E227" s="717"/>
      <c r="F227" s="717"/>
      <c r="G227" s="718">
        <f t="shared" si="16"/>
        <v>0</v>
      </c>
      <c r="H227" s="718">
        <f t="shared" si="17"/>
        <v>0</v>
      </c>
    </row>
    <row r="228" spans="1:8" ht="15" customHeight="1">
      <c r="A228" s="785" t="s">
        <v>2</v>
      </c>
      <c r="B228" s="786"/>
      <c r="C228" s="1099"/>
      <c r="D228" s="1099">
        <f>SUM(D173:D227)</f>
        <v>0</v>
      </c>
      <c r="E228" s="1099">
        <f>SUM(E173:E227)</f>
        <v>9</v>
      </c>
      <c r="F228" s="1099">
        <f>SUM(F173:F227)</f>
        <v>42</v>
      </c>
      <c r="G228" s="1012">
        <f t="shared" si="16"/>
        <v>9</v>
      </c>
      <c r="H228" s="1012">
        <f t="shared" si="17"/>
        <v>42</v>
      </c>
    </row>
    <row r="229" spans="1:8" ht="15" customHeight="1">
      <c r="A229" s="734"/>
      <c r="B229" s="789" t="s">
        <v>2659</v>
      </c>
      <c r="C229" s="736"/>
      <c r="D229" s="736"/>
      <c r="E229" s="736"/>
      <c r="F229" s="736"/>
      <c r="G229" s="955"/>
      <c r="H229" s="955"/>
    </row>
    <row r="230" spans="1:8" ht="15" customHeight="1">
      <c r="A230" s="713" t="s">
        <v>2054</v>
      </c>
      <c r="B230" s="728" t="s">
        <v>2055</v>
      </c>
      <c r="C230" s="717"/>
      <c r="D230" s="717"/>
      <c r="E230" s="717">
        <v>3</v>
      </c>
      <c r="F230" s="717">
        <v>3</v>
      </c>
      <c r="G230" s="718">
        <f t="shared" ref="G230:G245" si="18">C230+E230</f>
        <v>3</v>
      </c>
      <c r="H230" s="718">
        <f t="shared" ref="H230:H245" si="19">D230+F230</f>
        <v>3</v>
      </c>
    </row>
    <row r="231" spans="1:8" ht="15" customHeight="1">
      <c r="A231" s="737" t="s">
        <v>2636</v>
      </c>
      <c r="B231" s="738" t="s">
        <v>2637</v>
      </c>
      <c r="C231" s="717"/>
      <c r="D231" s="717"/>
      <c r="E231" s="717"/>
      <c r="F231" s="717">
        <v>40</v>
      </c>
      <c r="G231" s="718">
        <f t="shared" si="18"/>
        <v>0</v>
      </c>
      <c r="H231" s="718">
        <f t="shared" si="19"/>
        <v>40</v>
      </c>
    </row>
    <row r="232" spans="1:8" ht="15" customHeight="1">
      <c r="A232" s="713" t="s">
        <v>2092</v>
      </c>
      <c r="B232" s="731" t="s">
        <v>2644</v>
      </c>
      <c r="C232" s="717"/>
      <c r="D232" s="717"/>
      <c r="E232" s="717">
        <v>37</v>
      </c>
      <c r="F232" s="717">
        <v>35</v>
      </c>
      <c r="G232" s="718">
        <f t="shared" si="18"/>
        <v>37</v>
      </c>
      <c r="H232" s="718">
        <f t="shared" si="19"/>
        <v>35</v>
      </c>
    </row>
    <row r="233" spans="1:8" ht="15" customHeight="1">
      <c r="A233" s="713" t="s">
        <v>2094</v>
      </c>
      <c r="B233" s="731" t="s">
        <v>2645</v>
      </c>
      <c r="C233" s="717"/>
      <c r="D233" s="717"/>
      <c r="E233" s="717">
        <v>3</v>
      </c>
      <c r="F233" s="717">
        <v>3</v>
      </c>
      <c r="G233" s="718">
        <f t="shared" si="18"/>
        <v>3</v>
      </c>
      <c r="H233" s="718">
        <f t="shared" si="19"/>
        <v>3</v>
      </c>
    </row>
    <row r="234" spans="1:8" ht="15" customHeight="1">
      <c r="A234" s="713" t="s">
        <v>2096</v>
      </c>
      <c r="B234" s="731" t="s">
        <v>2646</v>
      </c>
      <c r="C234" s="717"/>
      <c r="D234" s="717"/>
      <c r="E234" s="717">
        <v>3</v>
      </c>
      <c r="F234" s="717">
        <v>3</v>
      </c>
      <c r="G234" s="718">
        <f t="shared" si="18"/>
        <v>3</v>
      </c>
      <c r="H234" s="718">
        <f t="shared" si="19"/>
        <v>3</v>
      </c>
    </row>
    <row r="235" spans="1:8" ht="15" customHeight="1">
      <c r="A235" s="790" t="s">
        <v>2098</v>
      </c>
      <c r="B235" s="731" t="s">
        <v>2647</v>
      </c>
      <c r="C235" s="717"/>
      <c r="D235" s="717"/>
      <c r="E235" s="717"/>
      <c r="F235" s="717"/>
      <c r="G235" s="718">
        <f t="shared" si="18"/>
        <v>0</v>
      </c>
      <c r="H235" s="718">
        <f t="shared" si="19"/>
        <v>0</v>
      </c>
    </row>
    <row r="236" spans="1:8" ht="15" customHeight="1">
      <c r="A236" s="737" t="s">
        <v>2100</v>
      </c>
      <c r="B236" s="740" t="s">
        <v>2648</v>
      </c>
      <c r="C236" s="717"/>
      <c r="D236" s="717"/>
      <c r="E236" s="717">
        <v>24</v>
      </c>
      <c r="F236" s="717">
        <v>20</v>
      </c>
      <c r="G236" s="718">
        <f t="shared" si="18"/>
        <v>24</v>
      </c>
      <c r="H236" s="718">
        <f t="shared" si="19"/>
        <v>20</v>
      </c>
    </row>
    <row r="237" spans="1:8" ht="15" customHeight="1">
      <c r="A237" s="713" t="s">
        <v>2102</v>
      </c>
      <c r="B237" s="740" t="s">
        <v>2649</v>
      </c>
      <c r="C237" s="717"/>
      <c r="D237" s="717"/>
      <c r="E237" s="717">
        <v>14</v>
      </c>
      <c r="F237" s="717">
        <v>10</v>
      </c>
      <c r="G237" s="718">
        <f t="shared" si="18"/>
        <v>14</v>
      </c>
      <c r="H237" s="718">
        <f t="shared" si="19"/>
        <v>10</v>
      </c>
    </row>
    <row r="238" spans="1:8" ht="15" customHeight="1">
      <c r="A238" s="713" t="s">
        <v>2104</v>
      </c>
      <c r="B238" s="740" t="s">
        <v>2650</v>
      </c>
      <c r="C238" s="717"/>
      <c r="D238" s="717"/>
      <c r="E238" s="717">
        <v>2</v>
      </c>
      <c r="F238" s="717">
        <v>2</v>
      </c>
      <c r="G238" s="718">
        <f t="shared" si="18"/>
        <v>2</v>
      </c>
      <c r="H238" s="718">
        <f t="shared" si="19"/>
        <v>2</v>
      </c>
    </row>
    <row r="239" spans="1:8" ht="15" customHeight="1">
      <c r="A239" s="713" t="s">
        <v>2106</v>
      </c>
      <c r="B239" s="740" t="s">
        <v>2107</v>
      </c>
      <c r="C239" s="717"/>
      <c r="D239" s="717"/>
      <c r="E239" s="717"/>
      <c r="F239" s="717"/>
      <c r="G239" s="718">
        <f t="shared" si="18"/>
        <v>0</v>
      </c>
      <c r="H239" s="718">
        <f t="shared" si="19"/>
        <v>0</v>
      </c>
    </row>
    <row r="240" spans="1:8" ht="15" customHeight="1">
      <c r="A240" s="785" t="s">
        <v>2</v>
      </c>
      <c r="B240" s="786"/>
      <c r="C240" s="1113"/>
      <c r="D240" s="1113">
        <f>SUM(D230:D239)</f>
        <v>0</v>
      </c>
      <c r="E240" s="1113">
        <f>SUM(E230:E239)</f>
        <v>86</v>
      </c>
      <c r="F240" s="1113">
        <f>SUM(F229:F239)</f>
        <v>116</v>
      </c>
      <c r="G240" s="1112">
        <f t="shared" si="18"/>
        <v>86</v>
      </c>
      <c r="H240" s="1112">
        <f t="shared" si="19"/>
        <v>116</v>
      </c>
    </row>
    <row r="241" spans="1:8" ht="15" customHeight="1">
      <c r="A241" s="743"/>
      <c r="B241" s="744" t="s">
        <v>2660</v>
      </c>
      <c r="C241" s="736"/>
      <c r="D241" s="736"/>
      <c r="E241" s="736"/>
      <c r="F241" s="736"/>
      <c r="G241" s="955">
        <f t="shared" si="18"/>
        <v>0</v>
      </c>
      <c r="H241" s="955">
        <f t="shared" si="19"/>
        <v>0</v>
      </c>
    </row>
    <row r="242" spans="1:8" ht="15" customHeight="1">
      <c r="A242" s="713" t="s">
        <v>2342</v>
      </c>
      <c r="B242" s="728" t="s">
        <v>2652</v>
      </c>
      <c r="C242" s="717"/>
      <c r="D242" s="717"/>
      <c r="E242" s="717">
        <v>22</v>
      </c>
      <c r="F242" s="717">
        <v>20</v>
      </c>
      <c r="G242" s="718">
        <f t="shared" si="18"/>
        <v>22</v>
      </c>
      <c r="H242" s="718">
        <f t="shared" si="19"/>
        <v>20</v>
      </c>
    </row>
    <row r="243" spans="1:8" ht="15" customHeight="1">
      <c r="A243" s="713" t="s">
        <v>2113</v>
      </c>
      <c r="B243" s="728" t="s">
        <v>2114</v>
      </c>
      <c r="C243" s="717"/>
      <c r="D243" s="717"/>
      <c r="E243" s="717">
        <v>4</v>
      </c>
      <c r="F243" s="717">
        <v>5</v>
      </c>
      <c r="G243" s="718">
        <f t="shared" si="18"/>
        <v>4</v>
      </c>
      <c r="H243" s="718">
        <f t="shared" si="19"/>
        <v>5</v>
      </c>
    </row>
    <row r="244" spans="1:8" ht="15" customHeight="1">
      <c r="A244" s="713" t="s">
        <v>2129</v>
      </c>
      <c r="B244" s="731" t="s">
        <v>2130</v>
      </c>
      <c r="C244" s="717"/>
      <c r="D244" s="717"/>
      <c r="E244" s="717"/>
      <c r="F244" s="717"/>
      <c r="G244" s="718">
        <f t="shared" si="18"/>
        <v>0</v>
      </c>
      <c r="H244" s="718">
        <f t="shared" si="19"/>
        <v>0</v>
      </c>
    </row>
    <row r="245" spans="1:8" ht="15" customHeight="1">
      <c r="A245" s="785" t="s">
        <v>2</v>
      </c>
      <c r="B245" s="742"/>
      <c r="C245" s="1113"/>
      <c r="D245" s="1113">
        <f>SUM(D242:D244)</f>
        <v>0</v>
      </c>
      <c r="E245" s="1113">
        <f>SUM(E242:E244)</f>
        <v>26</v>
      </c>
      <c r="F245" s="1113">
        <f>SUM(F242:F244)</f>
        <v>25</v>
      </c>
      <c r="G245" s="1112">
        <f t="shared" si="18"/>
        <v>26</v>
      </c>
      <c r="H245" s="1112">
        <f t="shared" si="19"/>
        <v>25</v>
      </c>
    </row>
    <row r="246" spans="1:8" ht="15" customHeight="1">
      <c r="A246" s="791"/>
      <c r="B246" s="773" t="s">
        <v>55</v>
      </c>
      <c r="C246" s="774"/>
      <c r="D246" s="749" t="s">
        <v>2661</v>
      </c>
      <c r="E246" s="774"/>
      <c r="F246" s="774"/>
      <c r="G246" s="1100"/>
      <c r="H246" s="1100"/>
    </row>
    <row r="247" spans="1:8" ht="15" customHeight="1">
      <c r="A247" s="750"/>
      <c r="B247" s="792" t="s">
        <v>2838</v>
      </c>
      <c r="C247" s="752"/>
      <c r="D247" s="752"/>
      <c r="E247" s="752"/>
      <c r="F247" s="752"/>
      <c r="G247" s="955"/>
      <c r="H247" s="955"/>
    </row>
    <row r="248" spans="1:8" ht="15" customHeight="1">
      <c r="A248" s="726"/>
      <c r="B248" s="712" t="s">
        <v>2839</v>
      </c>
      <c r="C248" s="755"/>
      <c r="D248" s="755"/>
      <c r="E248" s="755"/>
      <c r="F248" s="755"/>
      <c r="G248" s="955"/>
      <c r="H248" s="955"/>
    </row>
    <row r="249" spans="1:8" ht="15" customHeight="1">
      <c r="A249" s="713"/>
      <c r="B249" s="793"/>
      <c r="C249" s="794"/>
      <c r="D249" s="794"/>
      <c r="E249" s="717"/>
      <c r="F249" s="717"/>
      <c r="G249" s="718"/>
      <c r="H249" s="718"/>
    </row>
    <row r="250" spans="1:8" ht="15" customHeight="1">
      <c r="A250" s="741" t="s">
        <v>2</v>
      </c>
      <c r="B250" s="795"/>
      <c r="C250" s="747"/>
      <c r="D250" s="1099">
        <v>0</v>
      </c>
      <c r="E250" s="1099"/>
      <c r="F250" s="1099"/>
      <c r="G250" s="1012">
        <f>C250+E250</f>
        <v>0</v>
      </c>
      <c r="H250" s="1012">
        <f>D250+F250</f>
        <v>0</v>
      </c>
    </row>
    <row r="251" spans="1:8" ht="15" customHeight="1">
      <c r="A251" s="734"/>
      <c r="B251" s="771" t="s">
        <v>2840</v>
      </c>
      <c r="C251" s="736"/>
      <c r="D251" s="736"/>
      <c r="E251" s="736"/>
      <c r="F251" s="736"/>
      <c r="G251" s="955"/>
      <c r="H251" s="955"/>
    </row>
    <row r="252" spans="1:8" ht="15" customHeight="1">
      <c r="A252" s="713" t="s">
        <v>2717</v>
      </c>
      <c r="B252" s="714" t="s">
        <v>3397</v>
      </c>
      <c r="C252" s="717"/>
      <c r="D252" s="717"/>
      <c r="E252" s="717">
        <v>1</v>
      </c>
      <c r="F252" s="717">
        <v>1</v>
      </c>
      <c r="G252" s="718">
        <f t="shared" ref="G252:G266" si="20">C252+E252</f>
        <v>1</v>
      </c>
      <c r="H252" s="718">
        <f t="shared" ref="H252:H266" si="21">D252+F252</f>
        <v>1</v>
      </c>
    </row>
    <row r="253" spans="1:8" ht="15" customHeight="1">
      <c r="A253" s="713" t="s">
        <v>2719</v>
      </c>
      <c r="B253" s="714" t="s">
        <v>2720</v>
      </c>
      <c r="C253" s="717"/>
      <c r="D253" s="717"/>
      <c r="E253" s="717">
        <v>1</v>
      </c>
      <c r="F253" s="717">
        <v>1</v>
      </c>
      <c r="G253" s="718">
        <f t="shared" si="20"/>
        <v>1</v>
      </c>
      <c r="H253" s="718">
        <f t="shared" si="21"/>
        <v>1</v>
      </c>
    </row>
    <row r="254" spans="1:8" ht="15" customHeight="1">
      <c r="A254" s="713" t="s">
        <v>2721</v>
      </c>
      <c r="B254" s="714" t="s">
        <v>2722</v>
      </c>
      <c r="C254" s="717"/>
      <c r="D254" s="717"/>
      <c r="E254" s="717">
        <v>0</v>
      </c>
      <c r="F254" s="717">
        <v>1</v>
      </c>
      <c r="G254" s="718">
        <f t="shared" si="20"/>
        <v>0</v>
      </c>
      <c r="H254" s="718">
        <f t="shared" si="21"/>
        <v>1</v>
      </c>
    </row>
    <row r="255" spans="1:8" ht="15" customHeight="1">
      <c r="A255" s="713" t="s">
        <v>2723</v>
      </c>
      <c r="B255" s="714" t="s">
        <v>2724</v>
      </c>
      <c r="C255" s="717"/>
      <c r="D255" s="717"/>
      <c r="E255" s="717">
        <v>0</v>
      </c>
      <c r="F255" s="717">
        <v>1</v>
      </c>
      <c r="G255" s="718">
        <f t="shared" si="20"/>
        <v>0</v>
      </c>
      <c r="H255" s="718">
        <f t="shared" si="21"/>
        <v>1</v>
      </c>
    </row>
    <row r="256" spans="1:8" ht="15" customHeight="1">
      <c r="A256" s="713" t="s">
        <v>2725</v>
      </c>
      <c r="B256" s="714" t="s">
        <v>2726</v>
      </c>
      <c r="C256" s="717"/>
      <c r="D256" s="717"/>
      <c r="E256" s="717">
        <v>0</v>
      </c>
      <c r="F256" s="717">
        <v>0</v>
      </c>
      <c r="G256" s="718">
        <f t="shared" si="20"/>
        <v>0</v>
      </c>
      <c r="H256" s="718">
        <f t="shared" si="21"/>
        <v>0</v>
      </c>
    </row>
    <row r="257" spans="1:1024" ht="15" customHeight="1">
      <c r="A257" s="713" t="s">
        <v>2727</v>
      </c>
      <c r="B257" s="714" t="s">
        <v>2728</v>
      </c>
      <c r="C257" s="717"/>
      <c r="D257" s="717"/>
      <c r="E257" s="717">
        <v>0</v>
      </c>
      <c r="F257" s="717">
        <v>0</v>
      </c>
      <c r="G257" s="718">
        <f t="shared" si="20"/>
        <v>0</v>
      </c>
      <c r="H257" s="718">
        <f t="shared" si="21"/>
        <v>0</v>
      </c>
    </row>
    <row r="258" spans="1:1024" ht="15" customHeight="1">
      <c r="A258" s="713" t="s">
        <v>151</v>
      </c>
      <c r="B258" s="714" t="s">
        <v>2729</v>
      </c>
      <c r="C258" s="717"/>
      <c r="D258" s="717"/>
      <c r="E258" s="717">
        <v>16</v>
      </c>
      <c r="F258" s="717">
        <v>8</v>
      </c>
      <c r="G258" s="718">
        <f t="shared" si="20"/>
        <v>16</v>
      </c>
      <c r="H258" s="718">
        <f t="shared" si="21"/>
        <v>8</v>
      </c>
    </row>
    <row r="259" spans="1:1024" ht="15" customHeight="1">
      <c r="A259" s="713" t="s">
        <v>2730</v>
      </c>
      <c r="B259" s="714" t="s">
        <v>2731</v>
      </c>
      <c r="C259" s="717"/>
      <c r="D259" s="717"/>
      <c r="E259" s="717">
        <v>6</v>
      </c>
      <c r="F259" s="717">
        <v>11</v>
      </c>
      <c r="G259" s="718">
        <f t="shared" si="20"/>
        <v>6</v>
      </c>
      <c r="H259" s="718">
        <f t="shared" si="21"/>
        <v>11</v>
      </c>
    </row>
    <row r="260" spans="1:1024" customFormat="1" ht="15" customHeight="1">
      <c r="A260" s="1248" t="s">
        <v>3959</v>
      </c>
      <c r="B260" s="1249" t="s">
        <v>3958</v>
      </c>
      <c r="C260" s="1250"/>
      <c r="D260" s="1250"/>
      <c r="E260" s="1250">
        <v>0</v>
      </c>
      <c r="F260" s="1250">
        <v>2</v>
      </c>
      <c r="G260" s="1251">
        <v>0</v>
      </c>
      <c r="H260" s="1251">
        <v>2</v>
      </c>
      <c r="I260" s="1062"/>
      <c r="J260" s="1062"/>
      <c r="K260" s="1062"/>
      <c r="L260" s="1062"/>
      <c r="M260" s="1062"/>
      <c r="N260" s="1062"/>
      <c r="O260" s="1062"/>
      <c r="P260" s="1062"/>
      <c r="Q260" s="1062"/>
      <c r="R260" s="1062"/>
      <c r="S260" s="1062"/>
      <c r="T260" s="1062"/>
      <c r="U260" s="1062"/>
      <c r="V260" s="1062"/>
      <c r="W260" s="1062"/>
      <c r="X260" s="1062"/>
      <c r="Y260" s="1062"/>
      <c r="Z260" s="1062"/>
      <c r="AA260" s="1062"/>
      <c r="AB260" s="1062"/>
      <c r="AC260" s="1062"/>
      <c r="AD260" s="1062"/>
      <c r="AE260" s="1062"/>
      <c r="AF260" s="1062"/>
      <c r="AG260" s="1062"/>
      <c r="AH260" s="1062"/>
      <c r="AI260" s="1062"/>
      <c r="AJ260" s="1062"/>
      <c r="AK260" s="1062"/>
      <c r="AL260" s="1062"/>
      <c r="AM260" s="1062"/>
      <c r="AN260" s="1062"/>
      <c r="AO260" s="1062"/>
      <c r="AP260" s="1062"/>
      <c r="AQ260" s="1062"/>
      <c r="AR260" s="1062"/>
      <c r="AS260" s="1062"/>
      <c r="AT260" s="1062"/>
      <c r="AU260" s="1062"/>
      <c r="AV260" s="1062"/>
      <c r="AW260" s="1062"/>
      <c r="AX260" s="1062"/>
      <c r="AY260" s="1062"/>
      <c r="AZ260" s="1062"/>
      <c r="BA260" s="1062"/>
      <c r="BB260" s="1062"/>
      <c r="BC260" s="1062"/>
      <c r="BD260" s="1062"/>
      <c r="BE260" s="1062"/>
      <c r="BF260" s="1062"/>
      <c r="BG260" s="1062"/>
      <c r="BH260" s="1062"/>
      <c r="BI260" s="1062"/>
      <c r="BJ260" s="1062"/>
      <c r="BK260" s="1062"/>
      <c r="BL260" s="1062"/>
      <c r="BM260" s="1062"/>
      <c r="BN260" s="1062"/>
      <c r="BO260" s="1062"/>
      <c r="BP260" s="1062"/>
      <c r="BQ260" s="1062"/>
      <c r="BR260" s="1062"/>
      <c r="BS260" s="1062"/>
      <c r="BT260" s="1062"/>
      <c r="BU260" s="1062"/>
      <c r="BV260" s="1062"/>
      <c r="BW260" s="1062"/>
      <c r="BX260" s="1062"/>
      <c r="BY260" s="1062"/>
      <c r="BZ260" s="1062"/>
      <c r="CA260" s="1062"/>
      <c r="CB260" s="1062"/>
      <c r="CC260" s="1062"/>
      <c r="CD260" s="1062"/>
      <c r="CE260" s="1062"/>
      <c r="CF260" s="1062"/>
      <c r="CG260" s="1062"/>
      <c r="CH260" s="1062"/>
      <c r="CI260" s="1062"/>
      <c r="CJ260" s="1062"/>
      <c r="CK260" s="1062"/>
      <c r="CL260" s="1062"/>
      <c r="CM260" s="1062"/>
      <c r="CN260" s="1062"/>
      <c r="CO260" s="1062"/>
      <c r="CP260" s="1062"/>
      <c r="CQ260" s="1062"/>
      <c r="CR260" s="1062"/>
      <c r="CS260" s="1062"/>
      <c r="CT260" s="1062"/>
      <c r="CU260" s="1062"/>
      <c r="CV260" s="1062"/>
      <c r="CW260" s="1062"/>
      <c r="CX260" s="1062"/>
      <c r="CY260" s="1062"/>
      <c r="CZ260" s="1062"/>
      <c r="DA260" s="1062"/>
      <c r="DB260" s="1062"/>
      <c r="DC260" s="1062"/>
      <c r="DD260" s="1062"/>
      <c r="DE260" s="1062"/>
      <c r="DF260" s="1062"/>
      <c r="DG260" s="1062"/>
      <c r="DH260" s="1062"/>
      <c r="DI260" s="1062"/>
      <c r="DJ260" s="1062"/>
      <c r="DK260" s="1062"/>
      <c r="DL260" s="1062"/>
      <c r="DM260" s="1062"/>
      <c r="DN260" s="1062"/>
      <c r="DO260" s="1062"/>
      <c r="DP260" s="1062"/>
      <c r="DQ260" s="1062"/>
      <c r="DR260" s="1062"/>
      <c r="DS260" s="1062"/>
      <c r="DT260" s="1062"/>
      <c r="DU260" s="1062"/>
      <c r="DV260" s="1062"/>
      <c r="DW260" s="1062"/>
      <c r="DX260" s="1062"/>
      <c r="DY260" s="1062"/>
      <c r="DZ260" s="1062"/>
      <c r="EA260" s="1062"/>
      <c r="EB260" s="1062"/>
      <c r="EC260" s="1062"/>
      <c r="ED260" s="1062"/>
      <c r="EE260" s="1062"/>
      <c r="EF260" s="1062"/>
      <c r="EG260" s="1062"/>
      <c r="EH260" s="1062"/>
      <c r="EI260" s="1062"/>
      <c r="EJ260" s="1062"/>
      <c r="EK260" s="1062"/>
      <c r="EL260" s="1062"/>
      <c r="EM260" s="1062"/>
      <c r="EN260" s="1062"/>
      <c r="EO260" s="1062"/>
      <c r="EP260" s="1062"/>
      <c r="EQ260" s="1062"/>
      <c r="ER260" s="1062"/>
      <c r="ES260" s="1062"/>
      <c r="ET260" s="1062"/>
      <c r="EU260" s="1062"/>
      <c r="EV260" s="1062"/>
      <c r="EW260" s="1062"/>
      <c r="EX260" s="1062"/>
      <c r="EY260" s="1062"/>
      <c r="EZ260" s="1062"/>
      <c r="FA260" s="1062"/>
      <c r="FB260" s="1062"/>
      <c r="FC260" s="1062"/>
      <c r="FD260" s="1062"/>
      <c r="FE260" s="1062"/>
      <c r="FF260" s="1062"/>
      <c r="FG260" s="1062"/>
      <c r="FH260" s="1062"/>
      <c r="FI260" s="1062"/>
      <c r="FJ260" s="1062"/>
      <c r="FK260" s="1062"/>
      <c r="FL260" s="1062"/>
      <c r="FM260" s="1062"/>
      <c r="FN260" s="1062"/>
      <c r="FO260" s="1062"/>
      <c r="FP260" s="1062"/>
      <c r="FQ260" s="1062"/>
      <c r="FR260" s="1062"/>
      <c r="FS260" s="1062"/>
      <c r="FT260" s="1062"/>
      <c r="FU260" s="1062"/>
      <c r="FV260" s="1062"/>
      <c r="FW260" s="1062"/>
      <c r="FX260" s="1062"/>
      <c r="FY260" s="1062"/>
      <c r="FZ260" s="1062"/>
      <c r="GA260" s="1062"/>
      <c r="GB260" s="1062"/>
      <c r="GC260" s="1062"/>
      <c r="GD260" s="1062"/>
      <c r="GE260" s="1062"/>
      <c r="GF260" s="1062"/>
      <c r="GG260" s="1062"/>
      <c r="GH260" s="1062"/>
      <c r="GI260" s="1062"/>
      <c r="GJ260" s="1062"/>
      <c r="GK260" s="1062"/>
      <c r="GL260" s="1062"/>
      <c r="GM260" s="1062"/>
      <c r="GN260" s="1062"/>
      <c r="GO260" s="1062"/>
      <c r="GP260" s="1062"/>
      <c r="GQ260" s="1062"/>
      <c r="GR260" s="1062"/>
      <c r="GS260" s="1062"/>
      <c r="GT260" s="1062"/>
      <c r="GU260" s="1062"/>
      <c r="GV260" s="1062"/>
      <c r="GW260" s="1062"/>
      <c r="GX260" s="1062"/>
      <c r="GY260" s="1062"/>
      <c r="GZ260" s="1062"/>
      <c r="HA260" s="1062"/>
      <c r="HB260" s="1062"/>
      <c r="HC260" s="1062"/>
      <c r="HD260" s="1062"/>
      <c r="HE260" s="1062"/>
      <c r="HF260" s="1062"/>
      <c r="HG260" s="1062"/>
      <c r="HH260" s="1062"/>
      <c r="HI260" s="1062"/>
      <c r="HJ260" s="1062"/>
      <c r="HK260" s="1062"/>
      <c r="HL260" s="1062"/>
      <c r="HM260" s="1062"/>
      <c r="HN260" s="1062"/>
      <c r="HO260" s="1062"/>
      <c r="HP260" s="1062"/>
      <c r="HQ260" s="1062"/>
      <c r="HR260" s="1062"/>
      <c r="HS260" s="1062"/>
      <c r="HT260" s="1062"/>
      <c r="HU260" s="1062"/>
      <c r="HV260" s="1062"/>
      <c r="HW260" s="1062"/>
      <c r="HX260" s="1062"/>
      <c r="HY260" s="1062"/>
      <c r="HZ260" s="1062"/>
      <c r="IA260" s="1062"/>
      <c r="IB260" s="1062"/>
      <c r="IC260" s="1062"/>
      <c r="ID260" s="1062"/>
      <c r="IE260" s="1062"/>
      <c r="IF260" s="1062"/>
      <c r="IG260" s="1062"/>
      <c r="IH260" s="1062"/>
      <c r="II260" s="1062"/>
      <c r="IJ260" s="1062"/>
      <c r="IK260" s="1062"/>
      <c r="IL260" s="1062"/>
      <c r="IM260" s="1062"/>
      <c r="IN260" s="1062"/>
      <c r="IO260" s="1062"/>
      <c r="IP260" s="1062"/>
      <c r="IQ260" s="1062"/>
      <c r="IR260" s="1062"/>
      <c r="IS260" s="1062"/>
      <c r="IT260" s="1062"/>
      <c r="IU260" s="1062"/>
      <c r="IV260" s="1062"/>
      <c r="IW260" s="1062"/>
      <c r="IX260" s="1062"/>
      <c r="IY260" s="1062"/>
      <c r="IZ260" s="1062"/>
      <c r="JA260" s="1062"/>
      <c r="JB260" s="1062"/>
      <c r="JC260" s="1062"/>
      <c r="JD260" s="1062"/>
      <c r="JE260" s="1062"/>
      <c r="JF260" s="1062"/>
      <c r="JG260" s="1062"/>
      <c r="JH260" s="1062"/>
      <c r="JI260" s="1062"/>
      <c r="JJ260" s="1062"/>
      <c r="JK260" s="1062"/>
      <c r="JL260" s="1062"/>
      <c r="JM260" s="1062"/>
      <c r="JN260" s="1062"/>
      <c r="JO260" s="1062"/>
      <c r="JP260" s="1062"/>
      <c r="JQ260" s="1062"/>
      <c r="JR260" s="1062"/>
      <c r="JS260" s="1062"/>
      <c r="JT260" s="1062"/>
      <c r="JU260" s="1062"/>
      <c r="JV260" s="1062"/>
      <c r="JW260" s="1062"/>
      <c r="JX260" s="1062"/>
      <c r="JY260" s="1062"/>
      <c r="JZ260" s="1062"/>
      <c r="KA260" s="1062"/>
      <c r="KB260" s="1062"/>
      <c r="KC260" s="1062"/>
      <c r="KD260" s="1062"/>
      <c r="KE260" s="1062"/>
      <c r="KF260" s="1062"/>
      <c r="KG260" s="1062"/>
      <c r="KH260" s="1062"/>
      <c r="KI260" s="1062"/>
      <c r="KJ260" s="1062"/>
      <c r="KK260" s="1062"/>
      <c r="KL260" s="1062"/>
      <c r="KM260" s="1062"/>
      <c r="KN260" s="1062"/>
      <c r="KO260" s="1062"/>
      <c r="KP260" s="1062"/>
      <c r="KQ260" s="1062"/>
      <c r="KR260" s="1062"/>
      <c r="KS260" s="1062"/>
      <c r="KT260" s="1062"/>
      <c r="KU260" s="1062"/>
      <c r="KV260" s="1062"/>
      <c r="KW260" s="1062"/>
      <c r="KX260" s="1062"/>
      <c r="KY260" s="1062"/>
      <c r="KZ260" s="1062"/>
      <c r="LA260" s="1062"/>
      <c r="LB260" s="1062"/>
      <c r="LC260" s="1062"/>
      <c r="LD260" s="1062"/>
      <c r="LE260" s="1062"/>
      <c r="LF260" s="1062"/>
      <c r="LG260" s="1062"/>
      <c r="LH260" s="1062"/>
      <c r="LI260" s="1062"/>
      <c r="LJ260" s="1062"/>
      <c r="LK260" s="1062"/>
      <c r="LL260" s="1062"/>
      <c r="LM260" s="1062"/>
      <c r="LN260" s="1062"/>
      <c r="LO260" s="1062"/>
      <c r="LP260" s="1062"/>
      <c r="LQ260" s="1062"/>
      <c r="LR260" s="1062"/>
      <c r="LS260" s="1062"/>
      <c r="LT260" s="1062"/>
      <c r="LU260" s="1062"/>
      <c r="LV260" s="1062"/>
      <c r="LW260" s="1062"/>
      <c r="LX260" s="1062"/>
      <c r="LY260" s="1062"/>
      <c r="LZ260" s="1062"/>
      <c r="MA260" s="1062"/>
      <c r="MB260" s="1062"/>
      <c r="MC260" s="1062"/>
      <c r="MD260" s="1062"/>
      <c r="ME260" s="1062"/>
      <c r="MF260" s="1062"/>
      <c r="MG260" s="1062"/>
      <c r="MH260" s="1062"/>
      <c r="MI260" s="1062"/>
      <c r="MJ260" s="1062"/>
      <c r="MK260" s="1062"/>
      <c r="ML260" s="1062"/>
      <c r="MM260" s="1062"/>
      <c r="MN260" s="1062"/>
      <c r="MO260" s="1062"/>
      <c r="MP260" s="1062"/>
      <c r="MQ260" s="1062"/>
      <c r="MR260" s="1062"/>
      <c r="MS260" s="1062"/>
      <c r="MT260" s="1062"/>
      <c r="MU260" s="1062"/>
      <c r="MV260" s="1062"/>
      <c r="MW260" s="1062"/>
      <c r="MX260" s="1062"/>
      <c r="MY260" s="1062"/>
      <c r="MZ260" s="1062"/>
      <c r="NA260" s="1062"/>
      <c r="NB260" s="1062"/>
      <c r="NC260" s="1062"/>
      <c r="ND260" s="1062"/>
      <c r="NE260" s="1062"/>
      <c r="NF260" s="1062"/>
      <c r="NG260" s="1062"/>
      <c r="NH260" s="1062"/>
      <c r="NI260" s="1062"/>
      <c r="NJ260" s="1062"/>
      <c r="NK260" s="1062"/>
      <c r="NL260" s="1062"/>
      <c r="NM260" s="1062"/>
      <c r="NN260" s="1062"/>
      <c r="NO260" s="1062"/>
      <c r="NP260" s="1062"/>
      <c r="NQ260" s="1062"/>
      <c r="NR260" s="1062"/>
      <c r="NS260" s="1062"/>
      <c r="NT260" s="1062"/>
      <c r="NU260" s="1062"/>
      <c r="NV260" s="1062"/>
      <c r="NW260" s="1062"/>
      <c r="NX260" s="1062"/>
      <c r="NY260" s="1062"/>
      <c r="NZ260" s="1062"/>
      <c r="OA260" s="1062"/>
      <c r="OB260" s="1062"/>
      <c r="OC260" s="1062"/>
      <c r="OD260" s="1062"/>
      <c r="OE260" s="1062"/>
      <c r="OF260" s="1062"/>
      <c r="OG260" s="1062"/>
      <c r="OH260" s="1062"/>
      <c r="OI260" s="1062"/>
      <c r="OJ260" s="1062"/>
      <c r="OK260" s="1062"/>
      <c r="OL260" s="1062"/>
      <c r="OM260" s="1062"/>
      <c r="ON260" s="1062"/>
      <c r="OO260" s="1062"/>
      <c r="OP260" s="1062"/>
      <c r="OQ260" s="1062"/>
      <c r="OR260" s="1062"/>
      <c r="OS260" s="1062"/>
      <c r="OT260" s="1062"/>
      <c r="OU260" s="1062"/>
      <c r="OV260" s="1062"/>
      <c r="OW260" s="1062"/>
      <c r="OX260" s="1062"/>
      <c r="OY260" s="1062"/>
      <c r="OZ260" s="1062"/>
      <c r="PA260" s="1062"/>
      <c r="PB260" s="1062"/>
      <c r="PC260" s="1062"/>
      <c r="PD260" s="1062"/>
      <c r="PE260" s="1062"/>
      <c r="PF260" s="1062"/>
      <c r="PG260" s="1062"/>
      <c r="PH260" s="1062"/>
      <c r="PI260" s="1062"/>
      <c r="PJ260" s="1062"/>
      <c r="PK260" s="1062"/>
      <c r="PL260" s="1062"/>
      <c r="PM260" s="1062"/>
      <c r="PN260" s="1062"/>
      <c r="PO260" s="1062"/>
      <c r="PP260" s="1062"/>
      <c r="PQ260" s="1062"/>
      <c r="PR260" s="1062"/>
      <c r="PS260" s="1062"/>
      <c r="PT260" s="1062"/>
      <c r="PU260" s="1062"/>
      <c r="PV260" s="1062"/>
      <c r="PW260" s="1062"/>
      <c r="PX260" s="1062"/>
      <c r="PY260" s="1062"/>
      <c r="PZ260" s="1062"/>
      <c r="QA260" s="1062"/>
      <c r="QB260" s="1062"/>
      <c r="QC260" s="1062"/>
      <c r="QD260" s="1062"/>
      <c r="QE260" s="1062"/>
      <c r="QF260" s="1062"/>
      <c r="QG260" s="1062"/>
      <c r="QH260" s="1062"/>
      <c r="QI260" s="1062"/>
      <c r="QJ260" s="1062"/>
      <c r="QK260" s="1062"/>
      <c r="QL260" s="1062"/>
      <c r="QM260" s="1062"/>
      <c r="QN260" s="1062"/>
      <c r="QO260" s="1062"/>
      <c r="QP260" s="1062"/>
      <c r="QQ260" s="1062"/>
      <c r="QR260" s="1062"/>
      <c r="QS260" s="1062"/>
      <c r="QT260" s="1062"/>
      <c r="QU260" s="1062"/>
      <c r="QV260" s="1062"/>
      <c r="QW260" s="1062"/>
      <c r="QX260" s="1062"/>
      <c r="QY260" s="1062"/>
      <c r="QZ260" s="1062"/>
      <c r="RA260" s="1062"/>
      <c r="RB260" s="1062"/>
      <c r="RC260" s="1062"/>
      <c r="RD260" s="1062"/>
      <c r="RE260" s="1062"/>
      <c r="RF260" s="1062"/>
      <c r="RG260" s="1062"/>
      <c r="RH260" s="1062"/>
      <c r="RI260" s="1062"/>
      <c r="RJ260" s="1062"/>
      <c r="RK260" s="1062"/>
      <c r="RL260" s="1062"/>
      <c r="RM260" s="1062"/>
      <c r="RN260" s="1062"/>
      <c r="RO260" s="1062"/>
      <c r="RP260" s="1062"/>
      <c r="RQ260" s="1062"/>
      <c r="RR260" s="1062"/>
      <c r="RS260" s="1062"/>
      <c r="RT260" s="1062"/>
      <c r="RU260" s="1062"/>
      <c r="RV260" s="1062"/>
      <c r="RW260" s="1062"/>
      <c r="RX260" s="1062"/>
      <c r="RY260" s="1062"/>
      <c r="RZ260" s="1062"/>
      <c r="SA260" s="1062"/>
      <c r="SB260" s="1062"/>
      <c r="SC260" s="1062"/>
      <c r="SD260" s="1062"/>
      <c r="SE260" s="1062"/>
      <c r="SF260" s="1062"/>
      <c r="SG260" s="1062"/>
      <c r="SH260" s="1062"/>
      <c r="SI260" s="1062"/>
      <c r="SJ260" s="1062"/>
      <c r="SK260" s="1062"/>
      <c r="SL260" s="1062"/>
      <c r="SM260" s="1062"/>
      <c r="SN260" s="1062"/>
      <c r="SO260" s="1062"/>
      <c r="SP260" s="1062"/>
      <c r="SQ260" s="1062"/>
      <c r="SR260" s="1062"/>
      <c r="SS260" s="1062"/>
      <c r="ST260" s="1062"/>
      <c r="SU260" s="1062"/>
      <c r="SV260" s="1062"/>
      <c r="SW260" s="1062"/>
      <c r="SX260" s="1062"/>
      <c r="SY260" s="1062"/>
      <c r="SZ260" s="1062"/>
      <c r="TA260" s="1062"/>
      <c r="TB260" s="1062"/>
      <c r="TC260" s="1062"/>
      <c r="TD260" s="1062"/>
      <c r="TE260" s="1062"/>
      <c r="TF260" s="1062"/>
      <c r="TG260" s="1062"/>
      <c r="TH260" s="1062"/>
      <c r="TI260" s="1062"/>
      <c r="TJ260" s="1062"/>
      <c r="TK260" s="1062"/>
      <c r="TL260" s="1062"/>
      <c r="TM260" s="1062"/>
      <c r="TN260" s="1062"/>
      <c r="TO260" s="1062"/>
      <c r="TP260" s="1062"/>
      <c r="TQ260" s="1062"/>
      <c r="TR260" s="1062"/>
      <c r="TS260" s="1062"/>
      <c r="TT260" s="1062"/>
      <c r="TU260" s="1062"/>
      <c r="TV260" s="1062"/>
      <c r="TW260" s="1062"/>
      <c r="TX260" s="1062"/>
      <c r="TY260" s="1062"/>
      <c r="TZ260" s="1062"/>
      <c r="UA260" s="1062"/>
      <c r="UB260" s="1062"/>
      <c r="UC260" s="1062"/>
      <c r="UD260" s="1062"/>
      <c r="UE260" s="1062"/>
      <c r="UF260" s="1062"/>
      <c r="UG260" s="1062"/>
      <c r="UH260" s="1062"/>
      <c r="UI260" s="1062"/>
      <c r="UJ260" s="1062"/>
      <c r="UK260" s="1062"/>
      <c r="UL260" s="1062"/>
      <c r="UM260" s="1062"/>
      <c r="UN260" s="1062"/>
      <c r="UO260" s="1062"/>
      <c r="UP260" s="1062"/>
      <c r="UQ260" s="1062"/>
      <c r="UR260" s="1062"/>
      <c r="US260" s="1062"/>
      <c r="UT260" s="1062"/>
      <c r="UU260" s="1062"/>
      <c r="UV260" s="1062"/>
      <c r="UW260" s="1062"/>
      <c r="UX260" s="1062"/>
      <c r="UY260" s="1062"/>
      <c r="UZ260" s="1062"/>
      <c r="VA260" s="1062"/>
      <c r="VB260" s="1062"/>
      <c r="VC260" s="1062"/>
      <c r="VD260" s="1062"/>
      <c r="VE260" s="1062"/>
      <c r="VF260" s="1062"/>
      <c r="VG260" s="1062"/>
      <c r="VH260" s="1062"/>
      <c r="VI260" s="1062"/>
      <c r="VJ260" s="1062"/>
      <c r="VK260" s="1062"/>
      <c r="VL260" s="1062"/>
      <c r="VM260" s="1062"/>
      <c r="VN260" s="1062"/>
      <c r="VO260" s="1062"/>
      <c r="VP260" s="1062"/>
      <c r="VQ260" s="1062"/>
      <c r="VR260" s="1062"/>
      <c r="VS260" s="1062"/>
      <c r="VT260" s="1062"/>
      <c r="VU260" s="1062"/>
      <c r="VV260" s="1062"/>
      <c r="VW260" s="1062"/>
      <c r="VX260" s="1062"/>
      <c r="VY260" s="1062"/>
      <c r="VZ260" s="1062"/>
      <c r="WA260" s="1062"/>
      <c r="WB260" s="1062"/>
      <c r="WC260" s="1062"/>
      <c r="WD260" s="1062"/>
      <c r="WE260" s="1062"/>
      <c r="WF260" s="1062"/>
      <c r="WG260" s="1062"/>
      <c r="WH260" s="1062"/>
      <c r="WI260" s="1062"/>
      <c r="WJ260" s="1062"/>
      <c r="WK260" s="1062"/>
      <c r="WL260" s="1062"/>
      <c r="WM260" s="1062"/>
      <c r="WN260" s="1062"/>
      <c r="WO260" s="1062"/>
      <c r="WP260" s="1062"/>
      <c r="WQ260" s="1062"/>
      <c r="WR260" s="1062"/>
      <c r="WS260" s="1062"/>
      <c r="WT260" s="1062"/>
      <c r="WU260" s="1062"/>
      <c r="WV260" s="1062"/>
      <c r="WW260" s="1062"/>
      <c r="WX260" s="1062"/>
      <c r="WY260" s="1062"/>
      <c r="WZ260" s="1062"/>
      <c r="XA260" s="1062"/>
      <c r="XB260" s="1062"/>
      <c r="XC260" s="1062"/>
      <c r="XD260" s="1062"/>
      <c r="XE260" s="1062"/>
      <c r="XF260" s="1062"/>
      <c r="XG260" s="1062"/>
      <c r="XH260" s="1062"/>
      <c r="XI260" s="1062"/>
      <c r="XJ260" s="1062"/>
      <c r="XK260" s="1062"/>
      <c r="XL260" s="1062"/>
      <c r="XM260" s="1062"/>
      <c r="XN260" s="1062"/>
      <c r="XO260" s="1062"/>
      <c r="XP260" s="1062"/>
      <c r="XQ260" s="1062"/>
      <c r="XR260" s="1062"/>
      <c r="XS260" s="1062"/>
      <c r="XT260" s="1062"/>
      <c r="XU260" s="1062"/>
      <c r="XV260" s="1062"/>
      <c r="XW260" s="1062"/>
      <c r="XX260" s="1062"/>
      <c r="XY260" s="1062"/>
      <c r="XZ260" s="1062"/>
      <c r="YA260" s="1062"/>
      <c r="YB260" s="1062"/>
      <c r="YC260" s="1062"/>
      <c r="YD260" s="1062"/>
      <c r="YE260" s="1062"/>
      <c r="YF260" s="1062"/>
      <c r="YG260" s="1062"/>
      <c r="YH260" s="1062"/>
      <c r="YI260" s="1062"/>
      <c r="YJ260" s="1062"/>
      <c r="YK260" s="1062"/>
      <c r="YL260" s="1062"/>
      <c r="YM260" s="1062"/>
      <c r="YN260" s="1062"/>
      <c r="YO260" s="1062"/>
      <c r="YP260" s="1062"/>
      <c r="YQ260" s="1062"/>
      <c r="YR260" s="1062"/>
      <c r="YS260" s="1062"/>
      <c r="YT260" s="1062"/>
      <c r="YU260" s="1062"/>
      <c r="YV260" s="1062"/>
      <c r="YW260" s="1062"/>
      <c r="YX260" s="1062"/>
      <c r="YY260" s="1062"/>
      <c r="YZ260" s="1062"/>
      <c r="ZA260" s="1062"/>
      <c r="ZB260" s="1062"/>
      <c r="ZC260" s="1062"/>
      <c r="ZD260" s="1062"/>
      <c r="ZE260" s="1062"/>
      <c r="ZF260" s="1062"/>
      <c r="ZG260" s="1062"/>
      <c r="ZH260" s="1062"/>
      <c r="ZI260" s="1062"/>
      <c r="ZJ260" s="1062"/>
      <c r="ZK260" s="1062"/>
      <c r="ZL260" s="1062"/>
      <c r="ZM260" s="1062"/>
      <c r="ZN260" s="1062"/>
      <c r="ZO260" s="1062"/>
      <c r="ZP260" s="1062"/>
      <c r="ZQ260" s="1062"/>
      <c r="ZR260" s="1062"/>
      <c r="ZS260" s="1062"/>
      <c r="ZT260" s="1062"/>
      <c r="ZU260" s="1062"/>
      <c r="ZV260" s="1062"/>
      <c r="ZW260" s="1062"/>
      <c r="ZX260" s="1062"/>
      <c r="ZY260" s="1062"/>
      <c r="ZZ260" s="1062"/>
      <c r="AAA260" s="1062"/>
      <c r="AAB260" s="1062"/>
      <c r="AAC260" s="1062"/>
      <c r="AAD260" s="1062"/>
      <c r="AAE260" s="1062"/>
      <c r="AAF260" s="1062"/>
      <c r="AAG260" s="1062"/>
      <c r="AAH260" s="1062"/>
      <c r="AAI260" s="1062"/>
      <c r="AAJ260" s="1062"/>
      <c r="AAK260" s="1062"/>
      <c r="AAL260" s="1062"/>
      <c r="AAM260" s="1062"/>
      <c r="AAN260" s="1062"/>
      <c r="AAO260" s="1062"/>
      <c r="AAP260" s="1062"/>
      <c r="AAQ260" s="1062"/>
      <c r="AAR260" s="1062"/>
      <c r="AAS260" s="1062"/>
      <c r="AAT260" s="1062"/>
      <c r="AAU260" s="1062"/>
      <c r="AAV260" s="1062"/>
      <c r="AAW260" s="1062"/>
      <c r="AAX260" s="1062"/>
      <c r="AAY260" s="1062"/>
      <c r="AAZ260" s="1062"/>
      <c r="ABA260" s="1062"/>
      <c r="ABB260" s="1062"/>
      <c r="ABC260" s="1062"/>
      <c r="ABD260" s="1062"/>
      <c r="ABE260" s="1062"/>
      <c r="ABF260" s="1062"/>
      <c r="ABG260" s="1062"/>
      <c r="ABH260" s="1062"/>
      <c r="ABI260" s="1062"/>
      <c r="ABJ260" s="1062"/>
      <c r="ABK260" s="1062"/>
      <c r="ABL260" s="1062"/>
      <c r="ABM260" s="1062"/>
      <c r="ABN260" s="1062"/>
      <c r="ABO260" s="1062"/>
      <c r="ABP260" s="1062"/>
      <c r="ABQ260" s="1062"/>
      <c r="ABR260" s="1062"/>
      <c r="ABS260" s="1062"/>
      <c r="ABT260" s="1062"/>
      <c r="ABU260" s="1062"/>
      <c r="ABV260" s="1062"/>
      <c r="ABW260" s="1062"/>
      <c r="ABX260" s="1062"/>
      <c r="ABY260" s="1062"/>
      <c r="ABZ260" s="1062"/>
      <c r="ACA260" s="1062"/>
      <c r="ACB260" s="1062"/>
      <c r="ACC260" s="1062"/>
      <c r="ACD260" s="1062"/>
      <c r="ACE260" s="1062"/>
      <c r="ACF260" s="1062"/>
      <c r="ACG260" s="1062"/>
      <c r="ACH260" s="1062"/>
      <c r="ACI260" s="1062"/>
      <c r="ACJ260" s="1062"/>
      <c r="ACK260" s="1062"/>
      <c r="ACL260" s="1062"/>
      <c r="ACM260" s="1062"/>
      <c r="ACN260" s="1062"/>
      <c r="ACO260" s="1062"/>
      <c r="ACP260" s="1062"/>
      <c r="ACQ260" s="1062"/>
      <c r="ACR260" s="1062"/>
      <c r="ACS260" s="1062"/>
      <c r="ACT260" s="1062"/>
      <c r="ACU260" s="1062"/>
      <c r="ACV260" s="1062"/>
      <c r="ACW260" s="1062"/>
      <c r="ACX260" s="1062"/>
      <c r="ACY260" s="1062"/>
      <c r="ACZ260" s="1062"/>
      <c r="ADA260" s="1062"/>
      <c r="ADB260" s="1062"/>
      <c r="ADC260" s="1062"/>
      <c r="ADD260" s="1062"/>
      <c r="ADE260" s="1062"/>
      <c r="ADF260" s="1062"/>
      <c r="ADG260" s="1062"/>
      <c r="ADH260" s="1062"/>
      <c r="ADI260" s="1062"/>
      <c r="ADJ260" s="1062"/>
      <c r="ADK260" s="1062"/>
      <c r="ADL260" s="1062"/>
      <c r="ADM260" s="1062"/>
      <c r="ADN260" s="1062"/>
      <c r="ADO260" s="1062"/>
      <c r="ADP260" s="1062"/>
      <c r="ADQ260" s="1062"/>
      <c r="ADR260" s="1062"/>
      <c r="ADS260" s="1062"/>
      <c r="ADT260" s="1062"/>
      <c r="ADU260" s="1062"/>
      <c r="ADV260" s="1062"/>
      <c r="ADW260" s="1062"/>
      <c r="ADX260" s="1062"/>
      <c r="ADY260" s="1062"/>
      <c r="ADZ260" s="1062"/>
      <c r="AEA260" s="1062"/>
      <c r="AEB260" s="1062"/>
      <c r="AEC260" s="1062"/>
      <c r="AED260" s="1062"/>
      <c r="AEE260" s="1062"/>
      <c r="AEF260" s="1062"/>
      <c r="AEG260" s="1062"/>
      <c r="AEH260" s="1062"/>
      <c r="AEI260" s="1062"/>
      <c r="AEJ260" s="1062"/>
      <c r="AEK260" s="1062"/>
      <c r="AEL260" s="1062"/>
      <c r="AEM260" s="1062"/>
      <c r="AEN260" s="1062"/>
      <c r="AEO260" s="1062"/>
      <c r="AEP260" s="1062"/>
      <c r="AEQ260" s="1062"/>
      <c r="AER260" s="1062"/>
      <c r="AES260" s="1062"/>
      <c r="AET260" s="1062"/>
      <c r="AEU260" s="1062"/>
      <c r="AEV260" s="1062"/>
      <c r="AEW260" s="1062"/>
      <c r="AEX260" s="1062"/>
      <c r="AEY260" s="1062"/>
      <c r="AEZ260" s="1062"/>
      <c r="AFA260" s="1062"/>
      <c r="AFB260" s="1062"/>
      <c r="AFC260" s="1062"/>
      <c r="AFD260" s="1062"/>
      <c r="AFE260" s="1062"/>
      <c r="AFF260" s="1062"/>
      <c r="AFG260" s="1062"/>
      <c r="AFH260" s="1062"/>
      <c r="AFI260" s="1062"/>
      <c r="AFJ260" s="1062"/>
      <c r="AFK260" s="1062"/>
      <c r="AFL260" s="1062"/>
      <c r="AFM260" s="1062"/>
      <c r="AFN260" s="1062"/>
      <c r="AFO260" s="1062"/>
      <c r="AFP260" s="1062"/>
      <c r="AFQ260" s="1062"/>
      <c r="AFR260" s="1062"/>
      <c r="AFS260" s="1062"/>
      <c r="AFT260" s="1062"/>
      <c r="AFU260" s="1062"/>
      <c r="AFV260" s="1062"/>
      <c r="AFW260" s="1062"/>
      <c r="AFX260" s="1062"/>
      <c r="AFY260" s="1062"/>
      <c r="AFZ260" s="1062"/>
      <c r="AGA260" s="1062"/>
      <c r="AGB260" s="1062"/>
      <c r="AGC260" s="1062"/>
      <c r="AGD260" s="1062"/>
      <c r="AGE260" s="1062"/>
      <c r="AGF260" s="1062"/>
      <c r="AGG260" s="1062"/>
      <c r="AGH260" s="1062"/>
      <c r="AGI260" s="1062"/>
      <c r="AGJ260" s="1062"/>
      <c r="AGK260" s="1062"/>
      <c r="AGL260" s="1062"/>
      <c r="AGM260" s="1062"/>
      <c r="AGN260" s="1062"/>
      <c r="AGO260" s="1062"/>
      <c r="AGP260" s="1062"/>
      <c r="AGQ260" s="1062"/>
      <c r="AGR260" s="1062"/>
      <c r="AGS260" s="1062"/>
      <c r="AGT260" s="1062"/>
      <c r="AGU260" s="1062"/>
      <c r="AGV260" s="1062"/>
      <c r="AGW260" s="1062"/>
      <c r="AGX260" s="1062"/>
      <c r="AGY260" s="1062"/>
      <c r="AGZ260" s="1062"/>
      <c r="AHA260" s="1062"/>
      <c r="AHB260" s="1062"/>
      <c r="AHC260" s="1062"/>
      <c r="AHD260" s="1062"/>
      <c r="AHE260" s="1062"/>
      <c r="AHF260" s="1062"/>
      <c r="AHG260" s="1062"/>
      <c r="AHH260" s="1062"/>
      <c r="AHI260" s="1062"/>
      <c r="AHJ260" s="1062"/>
      <c r="AHK260" s="1062"/>
      <c r="AHL260" s="1062"/>
      <c r="AHM260" s="1062"/>
      <c r="AHN260" s="1062"/>
      <c r="AHO260" s="1062"/>
      <c r="AHP260" s="1062"/>
      <c r="AHQ260" s="1062"/>
      <c r="AHR260" s="1062"/>
      <c r="AHS260" s="1062"/>
      <c r="AHT260" s="1062"/>
      <c r="AHU260" s="1062"/>
      <c r="AHV260" s="1062"/>
      <c r="AHW260" s="1062"/>
      <c r="AHX260" s="1062"/>
      <c r="AHY260" s="1062"/>
      <c r="AHZ260" s="1062"/>
      <c r="AIA260" s="1062"/>
      <c r="AIB260" s="1062"/>
      <c r="AIC260" s="1062"/>
      <c r="AID260" s="1062"/>
      <c r="AIE260" s="1062"/>
      <c r="AIF260" s="1062"/>
      <c r="AIG260" s="1062"/>
      <c r="AIH260" s="1062"/>
      <c r="AII260" s="1062"/>
      <c r="AIJ260" s="1062"/>
      <c r="AIK260" s="1062"/>
      <c r="AIL260" s="1062"/>
      <c r="AIM260" s="1062"/>
      <c r="AIN260" s="1062"/>
      <c r="AIO260" s="1062"/>
      <c r="AIP260" s="1062"/>
      <c r="AIQ260" s="1062"/>
      <c r="AIR260" s="1062"/>
      <c r="AIS260" s="1062"/>
      <c r="AIT260" s="1062"/>
      <c r="AIU260" s="1062"/>
      <c r="AIV260" s="1062"/>
      <c r="AIW260" s="1062"/>
      <c r="AIX260" s="1062"/>
      <c r="AIY260" s="1062"/>
      <c r="AIZ260" s="1062"/>
      <c r="AJA260" s="1062"/>
      <c r="AJB260" s="1062"/>
      <c r="AJC260" s="1062"/>
      <c r="AJD260" s="1062"/>
      <c r="AJE260" s="1062"/>
      <c r="AJF260" s="1062"/>
      <c r="AJG260" s="1062"/>
      <c r="AJH260" s="1062"/>
      <c r="AJI260" s="1062"/>
      <c r="AJJ260" s="1062"/>
      <c r="AJK260" s="1062"/>
      <c r="AJL260" s="1062"/>
      <c r="AJM260" s="1062"/>
      <c r="AJN260" s="1062"/>
      <c r="AJO260" s="1062"/>
      <c r="AJP260" s="1062"/>
      <c r="AJQ260" s="1062"/>
      <c r="AJR260" s="1062"/>
      <c r="AJS260" s="1062"/>
      <c r="AJT260" s="1062"/>
      <c r="AJU260" s="1062"/>
      <c r="AJV260" s="1062"/>
      <c r="AJW260" s="1062"/>
      <c r="AJX260" s="1062"/>
      <c r="AJY260" s="1062"/>
      <c r="AJZ260" s="1062"/>
      <c r="AKA260" s="1062"/>
      <c r="AKB260" s="1062"/>
      <c r="AKC260" s="1062"/>
      <c r="AKD260" s="1062"/>
      <c r="AKE260" s="1062"/>
      <c r="AKF260" s="1062"/>
      <c r="AKG260" s="1062"/>
      <c r="AKH260" s="1062"/>
      <c r="AKI260" s="1062"/>
      <c r="AKJ260" s="1062"/>
      <c r="AKK260" s="1062"/>
      <c r="AKL260" s="1062"/>
      <c r="AKM260" s="1062"/>
      <c r="AKN260" s="1062"/>
      <c r="AKO260" s="1062"/>
      <c r="AKP260" s="1062"/>
      <c r="AKQ260" s="1062"/>
      <c r="AKR260" s="1062"/>
      <c r="AKS260" s="1062"/>
      <c r="AKT260" s="1062"/>
      <c r="AKU260" s="1062"/>
      <c r="AKV260" s="1062"/>
      <c r="AKW260" s="1062"/>
      <c r="AKX260" s="1062"/>
      <c r="AKY260" s="1062"/>
      <c r="AKZ260" s="1062"/>
      <c r="ALA260" s="1062"/>
      <c r="ALB260" s="1062"/>
      <c r="ALC260" s="1062"/>
      <c r="ALD260" s="1062"/>
      <c r="ALE260" s="1062"/>
      <c r="ALF260" s="1062"/>
      <c r="ALG260" s="1062"/>
      <c r="ALH260" s="1062"/>
      <c r="ALI260" s="1062"/>
      <c r="ALJ260" s="1062"/>
      <c r="ALK260" s="1062"/>
      <c r="ALL260" s="1062"/>
      <c r="ALM260" s="1062"/>
      <c r="ALN260" s="1062"/>
      <c r="ALO260" s="1062"/>
      <c r="ALP260" s="1062"/>
      <c r="ALQ260" s="1062"/>
      <c r="ALR260" s="1062"/>
      <c r="ALS260" s="1062"/>
      <c r="ALT260" s="1062"/>
      <c r="ALU260" s="1062"/>
      <c r="ALV260" s="1062"/>
      <c r="ALW260" s="1062"/>
      <c r="ALX260" s="1062"/>
      <c r="ALY260" s="1062"/>
      <c r="ALZ260" s="1062"/>
      <c r="AMA260" s="1062"/>
      <c r="AMB260" s="1062"/>
      <c r="AMC260" s="1062"/>
      <c r="AMD260" s="1062"/>
      <c r="AME260" s="1062"/>
      <c r="AMF260" s="1062"/>
      <c r="AMG260" s="1062"/>
      <c r="AMH260" s="1062"/>
      <c r="AMI260" s="1062"/>
      <c r="AMJ260" s="1062"/>
    </row>
    <row r="261" spans="1:1024" ht="15" customHeight="1">
      <c r="A261" s="713" t="s">
        <v>2732</v>
      </c>
      <c r="B261" s="714" t="s">
        <v>2733</v>
      </c>
      <c r="C261" s="717"/>
      <c r="D261" s="717"/>
      <c r="E261" s="717">
        <v>7</v>
      </c>
      <c r="F261" s="717">
        <v>1</v>
      </c>
      <c r="G261" s="718">
        <f t="shared" si="20"/>
        <v>7</v>
      </c>
      <c r="H261" s="718">
        <f t="shared" si="21"/>
        <v>1</v>
      </c>
    </row>
    <row r="262" spans="1:1024" ht="15" customHeight="1">
      <c r="A262" s="713" t="s">
        <v>2734</v>
      </c>
      <c r="B262" s="714" t="s">
        <v>2735</v>
      </c>
      <c r="C262" s="717"/>
      <c r="D262" s="717"/>
      <c r="E262" s="717">
        <v>13</v>
      </c>
      <c r="F262" s="717">
        <v>10</v>
      </c>
      <c r="G262" s="718">
        <f t="shared" si="20"/>
        <v>13</v>
      </c>
      <c r="H262" s="718">
        <f t="shared" si="21"/>
        <v>10</v>
      </c>
    </row>
    <row r="263" spans="1:1024" ht="15" customHeight="1">
      <c r="A263" s="713" t="s">
        <v>2736</v>
      </c>
      <c r="B263" s="714" t="s">
        <v>2737</v>
      </c>
      <c r="C263" s="717"/>
      <c r="D263" s="717"/>
      <c r="E263" s="717">
        <v>20</v>
      </c>
      <c r="F263" s="717">
        <v>5</v>
      </c>
      <c r="G263" s="718">
        <f t="shared" si="20"/>
        <v>20</v>
      </c>
      <c r="H263" s="718">
        <f t="shared" si="21"/>
        <v>5</v>
      </c>
    </row>
    <row r="264" spans="1:1024" ht="15" customHeight="1">
      <c r="A264" s="713" t="s">
        <v>2738</v>
      </c>
      <c r="B264" s="714" t="s">
        <v>2739</v>
      </c>
      <c r="C264" s="717"/>
      <c r="D264" s="717"/>
      <c r="E264" s="717">
        <v>0</v>
      </c>
      <c r="F264" s="717">
        <v>2</v>
      </c>
      <c r="G264" s="718">
        <f t="shared" si="20"/>
        <v>0</v>
      </c>
      <c r="H264" s="718">
        <f t="shared" si="21"/>
        <v>2</v>
      </c>
    </row>
    <row r="265" spans="1:1024" ht="15" customHeight="1">
      <c r="A265" s="713" t="s">
        <v>2740</v>
      </c>
      <c r="B265" s="714" t="s">
        <v>2741</v>
      </c>
      <c r="C265" s="717"/>
      <c r="D265" s="717"/>
      <c r="E265" s="717">
        <v>0</v>
      </c>
      <c r="F265" s="717">
        <v>0</v>
      </c>
      <c r="G265" s="718">
        <f t="shared" si="20"/>
        <v>0</v>
      </c>
      <c r="H265" s="718">
        <f t="shared" si="21"/>
        <v>0</v>
      </c>
    </row>
    <row r="266" spans="1:1024" ht="15" customHeight="1">
      <c r="A266" s="741" t="s">
        <v>2</v>
      </c>
      <c r="B266" s="795"/>
      <c r="C266" s="747"/>
      <c r="D266" s="747">
        <f>SUM(D252:D265)</f>
        <v>0</v>
      </c>
      <c r="E266" s="1099">
        <f>SUM(E252:E265)</f>
        <v>64</v>
      </c>
      <c r="F266" s="1099">
        <f>SUM(F252:F265)</f>
        <v>43</v>
      </c>
      <c r="G266" s="1012">
        <f t="shared" si="20"/>
        <v>64</v>
      </c>
      <c r="H266" s="1012">
        <f t="shared" si="21"/>
        <v>43</v>
      </c>
    </row>
    <row r="267" spans="1:1024" ht="15" customHeight="1">
      <c r="A267" s="796"/>
      <c r="B267" s="797" t="s">
        <v>2841</v>
      </c>
      <c r="C267" s="736"/>
      <c r="D267" s="736"/>
      <c r="E267" s="736"/>
      <c r="F267" s="736"/>
      <c r="G267" s="955"/>
      <c r="H267" s="955"/>
    </row>
    <row r="268" spans="1:1024" ht="15" customHeight="1">
      <c r="A268" s="737" t="s">
        <v>2054</v>
      </c>
      <c r="B268" s="798" t="s">
        <v>2055</v>
      </c>
      <c r="C268" s="717"/>
      <c r="D268" s="717"/>
      <c r="E268" s="717">
        <v>0</v>
      </c>
      <c r="F268" s="717">
        <v>5</v>
      </c>
      <c r="G268" s="718">
        <f t="shared" ref="G268:H305" si="22">C268+E268</f>
        <v>0</v>
      </c>
      <c r="H268" s="955">
        <f t="shared" ref="H268:H305" si="23">D268+F268</f>
        <v>5</v>
      </c>
    </row>
    <row r="269" spans="1:1024" ht="15" customHeight="1">
      <c r="A269" s="799" t="s">
        <v>2056</v>
      </c>
      <c r="B269" s="714" t="s">
        <v>2653</v>
      </c>
      <c r="C269" s="717"/>
      <c r="D269" s="717"/>
      <c r="E269" s="717">
        <v>0</v>
      </c>
      <c r="F269" s="717">
        <v>0</v>
      </c>
      <c r="G269" s="718">
        <f t="shared" si="22"/>
        <v>0</v>
      </c>
      <c r="H269" s="955">
        <f t="shared" si="23"/>
        <v>0</v>
      </c>
    </row>
    <row r="270" spans="1:1024" ht="15" customHeight="1">
      <c r="A270" s="713" t="s">
        <v>2071</v>
      </c>
      <c r="B270" s="714" t="s">
        <v>2072</v>
      </c>
      <c r="C270" s="717"/>
      <c r="D270" s="717"/>
      <c r="E270" s="717">
        <v>0</v>
      </c>
      <c r="F270" s="717">
        <v>0</v>
      </c>
      <c r="G270" s="718">
        <f t="shared" si="22"/>
        <v>0</v>
      </c>
      <c r="H270" s="955">
        <f t="shared" si="23"/>
        <v>0</v>
      </c>
    </row>
    <row r="271" spans="1:1024" ht="15" customHeight="1">
      <c r="A271" s="799" t="s">
        <v>2770</v>
      </c>
      <c r="B271" s="714" t="s">
        <v>2771</v>
      </c>
      <c r="C271" s="717"/>
      <c r="D271" s="717"/>
      <c r="E271" s="717">
        <v>18</v>
      </c>
      <c r="F271" s="717">
        <v>15</v>
      </c>
      <c r="G271" s="718">
        <f t="shared" si="22"/>
        <v>18</v>
      </c>
      <c r="H271" s="955">
        <f t="shared" si="23"/>
        <v>15</v>
      </c>
    </row>
    <row r="272" spans="1:1024" ht="15" customHeight="1">
      <c r="A272" s="713" t="s">
        <v>2773</v>
      </c>
      <c r="B272" s="714" t="s">
        <v>2774</v>
      </c>
      <c r="C272" s="717"/>
      <c r="D272" s="717"/>
      <c r="E272" s="717">
        <v>0</v>
      </c>
      <c r="F272" s="717">
        <v>10</v>
      </c>
      <c r="G272" s="718">
        <f t="shared" si="22"/>
        <v>0</v>
      </c>
      <c r="H272" s="955">
        <f t="shared" si="23"/>
        <v>10</v>
      </c>
    </row>
    <row r="273" spans="1:8" ht="15" customHeight="1">
      <c r="A273" s="713" t="s">
        <v>2775</v>
      </c>
      <c r="B273" s="714" t="s">
        <v>2776</v>
      </c>
      <c r="C273" s="717"/>
      <c r="D273" s="717"/>
      <c r="E273" s="717">
        <v>0</v>
      </c>
      <c r="F273" s="717">
        <v>10</v>
      </c>
      <c r="G273" s="718">
        <f t="shared" si="22"/>
        <v>0</v>
      </c>
      <c r="H273" s="955">
        <f t="shared" si="23"/>
        <v>10</v>
      </c>
    </row>
    <row r="274" spans="1:8" ht="15" customHeight="1">
      <c r="A274" s="713" t="s">
        <v>2777</v>
      </c>
      <c r="B274" s="714" t="s">
        <v>2778</v>
      </c>
      <c r="C274" s="717"/>
      <c r="D274" s="717"/>
      <c r="E274" s="717">
        <v>0</v>
      </c>
      <c r="F274" s="717">
        <v>5</v>
      </c>
      <c r="G274" s="718">
        <f t="shared" si="22"/>
        <v>0</v>
      </c>
      <c r="H274" s="955">
        <f t="shared" si="23"/>
        <v>5</v>
      </c>
    </row>
    <row r="275" spans="1:8" ht="15" customHeight="1">
      <c r="A275" s="713" t="s">
        <v>2785</v>
      </c>
      <c r="B275" s="714" t="s">
        <v>2786</v>
      </c>
      <c r="C275" s="717"/>
      <c r="D275" s="717"/>
      <c r="E275" s="717">
        <v>2</v>
      </c>
      <c r="F275" s="717">
        <v>3</v>
      </c>
      <c r="G275" s="718">
        <f t="shared" si="22"/>
        <v>2</v>
      </c>
      <c r="H275" s="955">
        <f t="shared" si="23"/>
        <v>3</v>
      </c>
    </row>
    <row r="276" spans="1:8" ht="15" customHeight="1">
      <c r="A276" s="713" t="s">
        <v>2787</v>
      </c>
      <c r="B276" s="714" t="s">
        <v>2788</v>
      </c>
      <c r="C276" s="717"/>
      <c r="D276" s="717"/>
      <c r="E276" s="717">
        <v>0</v>
      </c>
      <c r="F276" s="717">
        <v>3</v>
      </c>
      <c r="G276" s="718">
        <f t="shared" si="22"/>
        <v>0</v>
      </c>
      <c r="H276" s="955">
        <f t="shared" si="23"/>
        <v>3</v>
      </c>
    </row>
    <row r="277" spans="1:8" ht="15" customHeight="1">
      <c r="A277" s="713" t="s">
        <v>2789</v>
      </c>
      <c r="B277" s="714" t="s">
        <v>2790</v>
      </c>
      <c r="C277" s="717"/>
      <c r="D277" s="717"/>
      <c r="E277" s="717">
        <v>28</v>
      </c>
      <c r="F277" s="717">
        <v>25</v>
      </c>
      <c r="G277" s="718">
        <f t="shared" si="22"/>
        <v>28</v>
      </c>
      <c r="H277" s="955">
        <f t="shared" si="23"/>
        <v>25</v>
      </c>
    </row>
    <row r="278" spans="1:8" ht="15" customHeight="1">
      <c r="A278" s="713" t="s">
        <v>2791</v>
      </c>
      <c r="B278" s="714" t="s">
        <v>2792</v>
      </c>
      <c r="C278" s="717"/>
      <c r="D278" s="717"/>
      <c r="E278" s="717">
        <v>53</v>
      </c>
      <c r="F278" s="717">
        <v>50</v>
      </c>
      <c r="G278" s="718">
        <f t="shared" si="22"/>
        <v>53</v>
      </c>
      <c r="H278" s="955">
        <f t="shared" si="23"/>
        <v>50</v>
      </c>
    </row>
    <row r="279" spans="1:8" ht="15" customHeight="1">
      <c r="A279" s="799" t="s">
        <v>2365</v>
      </c>
      <c r="B279" s="714" t="s">
        <v>2793</v>
      </c>
      <c r="C279" s="717"/>
      <c r="D279" s="717"/>
      <c r="E279" s="717">
        <v>1</v>
      </c>
      <c r="F279" s="717">
        <v>3</v>
      </c>
      <c r="G279" s="718">
        <f t="shared" si="22"/>
        <v>1</v>
      </c>
      <c r="H279" s="955">
        <f t="shared" si="23"/>
        <v>3</v>
      </c>
    </row>
    <row r="280" spans="1:8" ht="15" customHeight="1">
      <c r="A280" s="713" t="s">
        <v>2794</v>
      </c>
      <c r="B280" s="714" t="s">
        <v>2795</v>
      </c>
      <c r="C280" s="717"/>
      <c r="D280" s="717"/>
      <c r="E280" s="717">
        <v>3</v>
      </c>
      <c r="F280" s="717">
        <v>3</v>
      </c>
      <c r="G280" s="718">
        <f t="shared" si="22"/>
        <v>3</v>
      </c>
      <c r="H280" s="955">
        <f t="shared" si="23"/>
        <v>3</v>
      </c>
    </row>
    <row r="281" spans="1:8" ht="15" customHeight="1">
      <c r="A281" s="713" t="s">
        <v>2371</v>
      </c>
      <c r="B281" s="714" t="s">
        <v>2372</v>
      </c>
      <c r="C281" s="717"/>
      <c r="D281" s="717"/>
      <c r="E281" s="717">
        <v>13</v>
      </c>
      <c r="F281" s="717">
        <v>10</v>
      </c>
      <c r="G281" s="718">
        <f t="shared" si="22"/>
        <v>13</v>
      </c>
      <c r="H281" s="955">
        <f t="shared" si="23"/>
        <v>10</v>
      </c>
    </row>
    <row r="282" spans="1:8" ht="15" customHeight="1">
      <c r="A282" s="713" t="s">
        <v>2796</v>
      </c>
      <c r="B282" s="714" t="s">
        <v>2797</v>
      </c>
      <c r="C282" s="717"/>
      <c r="D282" s="717"/>
      <c r="E282" s="717">
        <v>26</v>
      </c>
      <c r="F282" s="717">
        <v>3</v>
      </c>
      <c r="G282" s="718">
        <f t="shared" si="22"/>
        <v>26</v>
      </c>
      <c r="H282" s="955">
        <f t="shared" si="23"/>
        <v>3</v>
      </c>
    </row>
    <row r="283" spans="1:8" ht="15" customHeight="1">
      <c r="A283" s="799" t="s">
        <v>2798</v>
      </c>
      <c r="B283" s="714" t="s">
        <v>2799</v>
      </c>
      <c r="C283" s="717"/>
      <c r="D283" s="717"/>
      <c r="E283" s="717">
        <v>21</v>
      </c>
      <c r="F283" s="717">
        <v>20</v>
      </c>
      <c r="G283" s="718">
        <f t="shared" si="22"/>
        <v>21</v>
      </c>
      <c r="H283" s="955">
        <f t="shared" si="23"/>
        <v>20</v>
      </c>
    </row>
    <row r="284" spans="1:8" ht="15" customHeight="1">
      <c r="A284" s="737" t="s">
        <v>2086</v>
      </c>
      <c r="B284" s="714" t="s">
        <v>2087</v>
      </c>
      <c r="C284" s="717"/>
      <c r="D284" s="717"/>
      <c r="E284" s="717">
        <v>0</v>
      </c>
      <c r="F284" s="717">
        <v>3</v>
      </c>
      <c r="G284" s="718">
        <f t="shared" si="22"/>
        <v>0</v>
      </c>
      <c r="H284" s="955">
        <f t="shared" si="23"/>
        <v>3</v>
      </c>
    </row>
    <row r="285" spans="1:8" ht="15" customHeight="1">
      <c r="A285" s="737" t="s">
        <v>2090</v>
      </c>
      <c r="B285" s="714" t="s">
        <v>2091</v>
      </c>
      <c r="C285" s="717"/>
      <c r="D285" s="717"/>
      <c r="E285" s="717">
        <v>60</v>
      </c>
      <c r="F285" s="717">
        <v>50</v>
      </c>
      <c r="G285" s="718">
        <f t="shared" si="22"/>
        <v>60</v>
      </c>
      <c r="H285" s="955">
        <f t="shared" si="23"/>
        <v>50</v>
      </c>
    </row>
    <row r="286" spans="1:8" ht="15" customHeight="1">
      <c r="A286" s="799" t="s">
        <v>2094</v>
      </c>
      <c r="B286" s="714" t="s">
        <v>2375</v>
      </c>
      <c r="C286" s="717"/>
      <c r="D286" s="717"/>
      <c r="E286" s="717">
        <v>85</v>
      </c>
      <c r="F286" s="717">
        <v>80</v>
      </c>
      <c r="G286" s="718">
        <f t="shared" si="22"/>
        <v>85</v>
      </c>
      <c r="H286" s="955">
        <f t="shared" si="23"/>
        <v>80</v>
      </c>
    </row>
    <row r="287" spans="1:8" ht="15" customHeight="1">
      <c r="A287" s="737" t="s">
        <v>2096</v>
      </c>
      <c r="B287" s="714" t="s">
        <v>2097</v>
      </c>
      <c r="C287" s="717"/>
      <c r="D287" s="717"/>
      <c r="E287" s="717">
        <v>16</v>
      </c>
      <c r="F287" s="717">
        <v>13</v>
      </c>
      <c r="G287" s="718">
        <f t="shared" si="22"/>
        <v>16</v>
      </c>
      <c r="H287" s="955">
        <f t="shared" si="23"/>
        <v>13</v>
      </c>
    </row>
    <row r="288" spans="1:8" ht="15" customHeight="1">
      <c r="A288" s="799" t="s">
        <v>2100</v>
      </c>
      <c r="B288" s="714" t="s">
        <v>2101</v>
      </c>
      <c r="C288" s="717"/>
      <c r="D288" s="717"/>
      <c r="E288" s="717">
        <v>15</v>
      </c>
      <c r="F288" s="717">
        <v>16</v>
      </c>
      <c r="G288" s="718">
        <f t="shared" si="22"/>
        <v>15</v>
      </c>
      <c r="H288" s="955">
        <f t="shared" si="23"/>
        <v>16</v>
      </c>
    </row>
    <row r="289" spans="1:1024" ht="15" customHeight="1">
      <c r="A289" s="737" t="s">
        <v>2102</v>
      </c>
      <c r="B289" s="714" t="s">
        <v>2103</v>
      </c>
      <c r="C289" s="717"/>
      <c r="D289" s="717"/>
      <c r="E289" s="717">
        <v>54</v>
      </c>
      <c r="F289" s="717">
        <v>24</v>
      </c>
      <c r="G289" s="718">
        <f t="shared" si="22"/>
        <v>54</v>
      </c>
      <c r="H289" s="955">
        <f t="shared" si="23"/>
        <v>24</v>
      </c>
    </row>
    <row r="290" spans="1:1024" ht="15" customHeight="1">
      <c r="A290" s="799" t="s">
        <v>2104</v>
      </c>
      <c r="B290" s="714" t="s">
        <v>2105</v>
      </c>
      <c r="C290" s="717"/>
      <c r="D290" s="717"/>
      <c r="E290" s="717">
        <v>20</v>
      </c>
      <c r="F290" s="717">
        <v>23</v>
      </c>
      <c r="G290" s="718">
        <f t="shared" si="22"/>
        <v>20</v>
      </c>
      <c r="H290" s="955">
        <f t="shared" si="23"/>
        <v>23</v>
      </c>
    </row>
    <row r="291" spans="1:1024" ht="15" customHeight="1">
      <c r="A291" s="737" t="s">
        <v>2106</v>
      </c>
      <c r="B291" s="714" t="s">
        <v>2107</v>
      </c>
      <c r="C291" s="717"/>
      <c r="D291" s="717"/>
      <c r="E291" s="717">
        <v>0</v>
      </c>
      <c r="F291" s="717">
        <v>0</v>
      </c>
      <c r="G291" s="718">
        <f t="shared" si="22"/>
        <v>0</v>
      </c>
      <c r="H291" s="955">
        <f t="shared" si="23"/>
        <v>0</v>
      </c>
    </row>
    <row r="292" spans="1:1024" customFormat="1" ht="15" customHeight="1">
      <c r="A292" s="1252" t="s">
        <v>2380</v>
      </c>
      <c r="B292" s="1249" t="s">
        <v>2971</v>
      </c>
      <c r="C292" s="1250"/>
      <c r="D292" s="1250"/>
      <c r="E292" s="1250">
        <v>0</v>
      </c>
      <c r="F292" s="1250">
        <v>10</v>
      </c>
      <c r="G292" s="1251">
        <v>0</v>
      </c>
      <c r="H292" s="1684">
        <v>10</v>
      </c>
      <c r="I292" s="1062"/>
      <c r="J292" s="1062"/>
      <c r="K292" s="1062"/>
      <c r="L292" s="1062"/>
      <c r="M292" s="1062"/>
      <c r="N292" s="1062"/>
      <c r="O292" s="1062"/>
      <c r="P292" s="1062"/>
      <c r="Q292" s="1062"/>
      <c r="R292" s="1062"/>
      <c r="S292" s="1062"/>
      <c r="T292" s="1062"/>
      <c r="U292" s="1062"/>
      <c r="V292" s="1062"/>
      <c r="W292" s="1062"/>
      <c r="X292" s="1062"/>
      <c r="Y292" s="1062"/>
      <c r="Z292" s="1062"/>
      <c r="AA292" s="1062"/>
      <c r="AB292" s="1062"/>
      <c r="AC292" s="1062"/>
      <c r="AD292" s="1062"/>
      <c r="AE292" s="1062"/>
      <c r="AF292" s="1062"/>
      <c r="AG292" s="1062"/>
      <c r="AH292" s="1062"/>
      <c r="AI292" s="1062"/>
      <c r="AJ292" s="1062"/>
      <c r="AK292" s="1062"/>
      <c r="AL292" s="1062"/>
      <c r="AM292" s="1062"/>
      <c r="AN292" s="1062"/>
      <c r="AO292" s="1062"/>
      <c r="AP292" s="1062"/>
      <c r="AQ292" s="1062"/>
      <c r="AR292" s="1062"/>
      <c r="AS292" s="1062"/>
      <c r="AT292" s="1062"/>
      <c r="AU292" s="1062"/>
      <c r="AV292" s="1062"/>
      <c r="AW292" s="1062"/>
      <c r="AX292" s="1062"/>
      <c r="AY292" s="1062"/>
      <c r="AZ292" s="1062"/>
      <c r="BA292" s="1062"/>
      <c r="BB292" s="1062"/>
      <c r="BC292" s="1062"/>
      <c r="BD292" s="1062"/>
      <c r="BE292" s="1062"/>
      <c r="BF292" s="1062"/>
      <c r="BG292" s="1062"/>
      <c r="BH292" s="1062"/>
      <c r="BI292" s="1062"/>
      <c r="BJ292" s="1062"/>
      <c r="BK292" s="1062"/>
      <c r="BL292" s="1062"/>
      <c r="BM292" s="1062"/>
      <c r="BN292" s="1062"/>
      <c r="BO292" s="1062"/>
      <c r="BP292" s="1062"/>
      <c r="BQ292" s="1062"/>
      <c r="BR292" s="1062"/>
      <c r="BS292" s="1062"/>
      <c r="BT292" s="1062"/>
      <c r="BU292" s="1062"/>
      <c r="BV292" s="1062"/>
      <c r="BW292" s="1062"/>
      <c r="BX292" s="1062"/>
      <c r="BY292" s="1062"/>
      <c r="BZ292" s="1062"/>
      <c r="CA292" s="1062"/>
      <c r="CB292" s="1062"/>
      <c r="CC292" s="1062"/>
      <c r="CD292" s="1062"/>
      <c r="CE292" s="1062"/>
      <c r="CF292" s="1062"/>
      <c r="CG292" s="1062"/>
      <c r="CH292" s="1062"/>
      <c r="CI292" s="1062"/>
      <c r="CJ292" s="1062"/>
      <c r="CK292" s="1062"/>
      <c r="CL292" s="1062"/>
      <c r="CM292" s="1062"/>
      <c r="CN292" s="1062"/>
      <c r="CO292" s="1062"/>
      <c r="CP292" s="1062"/>
      <c r="CQ292" s="1062"/>
      <c r="CR292" s="1062"/>
      <c r="CS292" s="1062"/>
      <c r="CT292" s="1062"/>
      <c r="CU292" s="1062"/>
      <c r="CV292" s="1062"/>
      <c r="CW292" s="1062"/>
      <c r="CX292" s="1062"/>
      <c r="CY292" s="1062"/>
      <c r="CZ292" s="1062"/>
      <c r="DA292" s="1062"/>
      <c r="DB292" s="1062"/>
      <c r="DC292" s="1062"/>
      <c r="DD292" s="1062"/>
      <c r="DE292" s="1062"/>
      <c r="DF292" s="1062"/>
      <c r="DG292" s="1062"/>
      <c r="DH292" s="1062"/>
      <c r="DI292" s="1062"/>
      <c r="DJ292" s="1062"/>
      <c r="DK292" s="1062"/>
      <c r="DL292" s="1062"/>
      <c r="DM292" s="1062"/>
      <c r="DN292" s="1062"/>
      <c r="DO292" s="1062"/>
      <c r="DP292" s="1062"/>
      <c r="DQ292" s="1062"/>
      <c r="DR292" s="1062"/>
      <c r="DS292" s="1062"/>
      <c r="DT292" s="1062"/>
      <c r="DU292" s="1062"/>
      <c r="DV292" s="1062"/>
      <c r="DW292" s="1062"/>
      <c r="DX292" s="1062"/>
      <c r="DY292" s="1062"/>
      <c r="DZ292" s="1062"/>
      <c r="EA292" s="1062"/>
      <c r="EB292" s="1062"/>
      <c r="EC292" s="1062"/>
      <c r="ED292" s="1062"/>
      <c r="EE292" s="1062"/>
      <c r="EF292" s="1062"/>
      <c r="EG292" s="1062"/>
      <c r="EH292" s="1062"/>
      <c r="EI292" s="1062"/>
      <c r="EJ292" s="1062"/>
      <c r="EK292" s="1062"/>
      <c r="EL292" s="1062"/>
      <c r="EM292" s="1062"/>
      <c r="EN292" s="1062"/>
      <c r="EO292" s="1062"/>
      <c r="EP292" s="1062"/>
      <c r="EQ292" s="1062"/>
      <c r="ER292" s="1062"/>
      <c r="ES292" s="1062"/>
      <c r="ET292" s="1062"/>
      <c r="EU292" s="1062"/>
      <c r="EV292" s="1062"/>
      <c r="EW292" s="1062"/>
      <c r="EX292" s="1062"/>
      <c r="EY292" s="1062"/>
      <c r="EZ292" s="1062"/>
      <c r="FA292" s="1062"/>
      <c r="FB292" s="1062"/>
      <c r="FC292" s="1062"/>
      <c r="FD292" s="1062"/>
      <c r="FE292" s="1062"/>
      <c r="FF292" s="1062"/>
      <c r="FG292" s="1062"/>
      <c r="FH292" s="1062"/>
      <c r="FI292" s="1062"/>
      <c r="FJ292" s="1062"/>
      <c r="FK292" s="1062"/>
      <c r="FL292" s="1062"/>
      <c r="FM292" s="1062"/>
      <c r="FN292" s="1062"/>
      <c r="FO292" s="1062"/>
      <c r="FP292" s="1062"/>
      <c r="FQ292" s="1062"/>
      <c r="FR292" s="1062"/>
      <c r="FS292" s="1062"/>
      <c r="FT292" s="1062"/>
      <c r="FU292" s="1062"/>
      <c r="FV292" s="1062"/>
      <c r="FW292" s="1062"/>
      <c r="FX292" s="1062"/>
      <c r="FY292" s="1062"/>
      <c r="FZ292" s="1062"/>
      <c r="GA292" s="1062"/>
      <c r="GB292" s="1062"/>
      <c r="GC292" s="1062"/>
      <c r="GD292" s="1062"/>
      <c r="GE292" s="1062"/>
      <c r="GF292" s="1062"/>
      <c r="GG292" s="1062"/>
      <c r="GH292" s="1062"/>
      <c r="GI292" s="1062"/>
      <c r="GJ292" s="1062"/>
      <c r="GK292" s="1062"/>
      <c r="GL292" s="1062"/>
      <c r="GM292" s="1062"/>
      <c r="GN292" s="1062"/>
      <c r="GO292" s="1062"/>
      <c r="GP292" s="1062"/>
      <c r="GQ292" s="1062"/>
      <c r="GR292" s="1062"/>
      <c r="GS292" s="1062"/>
      <c r="GT292" s="1062"/>
      <c r="GU292" s="1062"/>
      <c r="GV292" s="1062"/>
      <c r="GW292" s="1062"/>
      <c r="GX292" s="1062"/>
      <c r="GY292" s="1062"/>
      <c r="GZ292" s="1062"/>
      <c r="HA292" s="1062"/>
      <c r="HB292" s="1062"/>
      <c r="HC292" s="1062"/>
      <c r="HD292" s="1062"/>
      <c r="HE292" s="1062"/>
      <c r="HF292" s="1062"/>
      <c r="HG292" s="1062"/>
      <c r="HH292" s="1062"/>
      <c r="HI292" s="1062"/>
      <c r="HJ292" s="1062"/>
      <c r="HK292" s="1062"/>
      <c r="HL292" s="1062"/>
      <c r="HM292" s="1062"/>
      <c r="HN292" s="1062"/>
      <c r="HO292" s="1062"/>
      <c r="HP292" s="1062"/>
      <c r="HQ292" s="1062"/>
      <c r="HR292" s="1062"/>
      <c r="HS292" s="1062"/>
      <c r="HT292" s="1062"/>
      <c r="HU292" s="1062"/>
      <c r="HV292" s="1062"/>
      <c r="HW292" s="1062"/>
      <c r="HX292" s="1062"/>
      <c r="HY292" s="1062"/>
      <c r="HZ292" s="1062"/>
      <c r="IA292" s="1062"/>
      <c r="IB292" s="1062"/>
      <c r="IC292" s="1062"/>
      <c r="ID292" s="1062"/>
      <c r="IE292" s="1062"/>
      <c r="IF292" s="1062"/>
      <c r="IG292" s="1062"/>
      <c r="IH292" s="1062"/>
      <c r="II292" s="1062"/>
      <c r="IJ292" s="1062"/>
      <c r="IK292" s="1062"/>
      <c r="IL292" s="1062"/>
      <c r="IM292" s="1062"/>
      <c r="IN292" s="1062"/>
      <c r="IO292" s="1062"/>
      <c r="IP292" s="1062"/>
      <c r="IQ292" s="1062"/>
      <c r="IR292" s="1062"/>
      <c r="IS292" s="1062"/>
      <c r="IT292" s="1062"/>
      <c r="IU292" s="1062"/>
      <c r="IV292" s="1062"/>
      <c r="IW292" s="1062"/>
      <c r="IX292" s="1062"/>
      <c r="IY292" s="1062"/>
      <c r="IZ292" s="1062"/>
      <c r="JA292" s="1062"/>
      <c r="JB292" s="1062"/>
      <c r="JC292" s="1062"/>
      <c r="JD292" s="1062"/>
      <c r="JE292" s="1062"/>
      <c r="JF292" s="1062"/>
      <c r="JG292" s="1062"/>
      <c r="JH292" s="1062"/>
      <c r="JI292" s="1062"/>
      <c r="JJ292" s="1062"/>
      <c r="JK292" s="1062"/>
      <c r="JL292" s="1062"/>
      <c r="JM292" s="1062"/>
      <c r="JN292" s="1062"/>
      <c r="JO292" s="1062"/>
      <c r="JP292" s="1062"/>
      <c r="JQ292" s="1062"/>
      <c r="JR292" s="1062"/>
      <c r="JS292" s="1062"/>
      <c r="JT292" s="1062"/>
      <c r="JU292" s="1062"/>
      <c r="JV292" s="1062"/>
      <c r="JW292" s="1062"/>
      <c r="JX292" s="1062"/>
      <c r="JY292" s="1062"/>
      <c r="JZ292" s="1062"/>
      <c r="KA292" s="1062"/>
      <c r="KB292" s="1062"/>
      <c r="KC292" s="1062"/>
      <c r="KD292" s="1062"/>
      <c r="KE292" s="1062"/>
      <c r="KF292" s="1062"/>
      <c r="KG292" s="1062"/>
      <c r="KH292" s="1062"/>
      <c r="KI292" s="1062"/>
      <c r="KJ292" s="1062"/>
      <c r="KK292" s="1062"/>
      <c r="KL292" s="1062"/>
      <c r="KM292" s="1062"/>
      <c r="KN292" s="1062"/>
      <c r="KO292" s="1062"/>
      <c r="KP292" s="1062"/>
      <c r="KQ292" s="1062"/>
      <c r="KR292" s="1062"/>
      <c r="KS292" s="1062"/>
      <c r="KT292" s="1062"/>
      <c r="KU292" s="1062"/>
      <c r="KV292" s="1062"/>
      <c r="KW292" s="1062"/>
      <c r="KX292" s="1062"/>
      <c r="KY292" s="1062"/>
      <c r="KZ292" s="1062"/>
      <c r="LA292" s="1062"/>
      <c r="LB292" s="1062"/>
      <c r="LC292" s="1062"/>
      <c r="LD292" s="1062"/>
      <c r="LE292" s="1062"/>
      <c r="LF292" s="1062"/>
      <c r="LG292" s="1062"/>
      <c r="LH292" s="1062"/>
      <c r="LI292" s="1062"/>
      <c r="LJ292" s="1062"/>
      <c r="LK292" s="1062"/>
      <c r="LL292" s="1062"/>
      <c r="LM292" s="1062"/>
      <c r="LN292" s="1062"/>
      <c r="LO292" s="1062"/>
      <c r="LP292" s="1062"/>
      <c r="LQ292" s="1062"/>
      <c r="LR292" s="1062"/>
      <c r="LS292" s="1062"/>
      <c r="LT292" s="1062"/>
      <c r="LU292" s="1062"/>
      <c r="LV292" s="1062"/>
      <c r="LW292" s="1062"/>
      <c r="LX292" s="1062"/>
      <c r="LY292" s="1062"/>
      <c r="LZ292" s="1062"/>
      <c r="MA292" s="1062"/>
      <c r="MB292" s="1062"/>
      <c r="MC292" s="1062"/>
      <c r="MD292" s="1062"/>
      <c r="ME292" s="1062"/>
      <c r="MF292" s="1062"/>
      <c r="MG292" s="1062"/>
      <c r="MH292" s="1062"/>
      <c r="MI292" s="1062"/>
      <c r="MJ292" s="1062"/>
      <c r="MK292" s="1062"/>
      <c r="ML292" s="1062"/>
      <c r="MM292" s="1062"/>
      <c r="MN292" s="1062"/>
      <c r="MO292" s="1062"/>
      <c r="MP292" s="1062"/>
      <c r="MQ292" s="1062"/>
      <c r="MR292" s="1062"/>
      <c r="MS292" s="1062"/>
      <c r="MT292" s="1062"/>
      <c r="MU292" s="1062"/>
      <c r="MV292" s="1062"/>
      <c r="MW292" s="1062"/>
      <c r="MX292" s="1062"/>
      <c r="MY292" s="1062"/>
      <c r="MZ292" s="1062"/>
      <c r="NA292" s="1062"/>
      <c r="NB292" s="1062"/>
      <c r="NC292" s="1062"/>
      <c r="ND292" s="1062"/>
      <c r="NE292" s="1062"/>
      <c r="NF292" s="1062"/>
      <c r="NG292" s="1062"/>
      <c r="NH292" s="1062"/>
      <c r="NI292" s="1062"/>
      <c r="NJ292" s="1062"/>
      <c r="NK292" s="1062"/>
      <c r="NL292" s="1062"/>
      <c r="NM292" s="1062"/>
      <c r="NN292" s="1062"/>
      <c r="NO292" s="1062"/>
      <c r="NP292" s="1062"/>
      <c r="NQ292" s="1062"/>
      <c r="NR292" s="1062"/>
      <c r="NS292" s="1062"/>
      <c r="NT292" s="1062"/>
      <c r="NU292" s="1062"/>
      <c r="NV292" s="1062"/>
      <c r="NW292" s="1062"/>
      <c r="NX292" s="1062"/>
      <c r="NY292" s="1062"/>
      <c r="NZ292" s="1062"/>
      <c r="OA292" s="1062"/>
      <c r="OB292" s="1062"/>
      <c r="OC292" s="1062"/>
      <c r="OD292" s="1062"/>
      <c r="OE292" s="1062"/>
      <c r="OF292" s="1062"/>
      <c r="OG292" s="1062"/>
      <c r="OH292" s="1062"/>
      <c r="OI292" s="1062"/>
      <c r="OJ292" s="1062"/>
      <c r="OK292" s="1062"/>
      <c r="OL292" s="1062"/>
      <c r="OM292" s="1062"/>
      <c r="ON292" s="1062"/>
      <c r="OO292" s="1062"/>
      <c r="OP292" s="1062"/>
      <c r="OQ292" s="1062"/>
      <c r="OR292" s="1062"/>
      <c r="OS292" s="1062"/>
      <c r="OT292" s="1062"/>
      <c r="OU292" s="1062"/>
      <c r="OV292" s="1062"/>
      <c r="OW292" s="1062"/>
      <c r="OX292" s="1062"/>
      <c r="OY292" s="1062"/>
      <c r="OZ292" s="1062"/>
      <c r="PA292" s="1062"/>
      <c r="PB292" s="1062"/>
      <c r="PC292" s="1062"/>
      <c r="PD292" s="1062"/>
      <c r="PE292" s="1062"/>
      <c r="PF292" s="1062"/>
      <c r="PG292" s="1062"/>
      <c r="PH292" s="1062"/>
      <c r="PI292" s="1062"/>
      <c r="PJ292" s="1062"/>
      <c r="PK292" s="1062"/>
      <c r="PL292" s="1062"/>
      <c r="PM292" s="1062"/>
      <c r="PN292" s="1062"/>
      <c r="PO292" s="1062"/>
      <c r="PP292" s="1062"/>
      <c r="PQ292" s="1062"/>
      <c r="PR292" s="1062"/>
      <c r="PS292" s="1062"/>
      <c r="PT292" s="1062"/>
      <c r="PU292" s="1062"/>
      <c r="PV292" s="1062"/>
      <c r="PW292" s="1062"/>
      <c r="PX292" s="1062"/>
      <c r="PY292" s="1062"/>
      <c r="PZ292" s="1062"/>
      <c r="QA292" s="1062"/>
      <c r="QB292" s="1062"/>
      <c r="QC292" s="1062"/>
      <c r="QD292" s="1062"/>
      <c r="QE292" s="1062"/>
      <c r="QF292" s="1062"/>
      <c r="QG292" s="1062"/>
      <c r="QH292" s="1062"/>
      <c r="QI292" s="1062"/>
      <c r="QJ292" s="1062"/>
      <c r="QK292" s="1062"/>
      <c r="QL292" s="1062"/>
      <c r="QM292" s="1062"/>
      <c r="QN292" s="1062"/>
      <c r="QO292" s="1062"/>
      <c r="QP292" s="1062"/>
      <c r="QQ292" s="1062"/>
      <c r="QR292" s="1062"/>
      <c r="QS292" s="1062"/>
      <c r="QT292" s="1062"/>
      <c r="QU292" s="1062"/>
      <c r="QV292" s="1062"/>
      <c r="QW292" s="1062"/>
      <c r="QX292" s="1062"/>
      <c r="QY292" s="1062"/>
      <c r="QZ292" s="1062"/>
      <c r="RA292" s="1062"/>
      <c r="RB292" s="1062"/>
      <c r="RC292" s="1062"/>
      <c r="RD292" s="1062"/>
      <c r="RE292" s="1062"/>
      <c r="RF292" s="1062"/>
      <c r="RG292" s="1062"/>
      <c r="RH292" s="1062"/>
      <c r="RI292" s="1062"/>
      <c r="RJ292" s="1062"/>
      <c r="RK292" s="1062"/>
      <c r="RL292" s="1062"/>
      <c r="RM292" s="1062"/>
      <c r="RN292" s="1062"/>
      <c r="RO292" s="1062"/>
      <c r="RP292" s="1062"/>
      <c r="RQ292" s="1062"/>
      <c r="RR292" s="1062"/>
      <c r="RS292" s="1062"/>
      <c r="RT292" s="1062"/>
      <c r="RU292" s="1062"/>
      <c r="RV292" s="1062"/>
      <c r="RW292" s="1062"/>
      <c r="RX292" s="1062"/>
      <c r="RY292" s="1062"/>
      <c r="RZ292" s="1062"/>
      <c r="SA292" s="1062"/>
      <c r="SB292" s="1062"/>
      <c r="SC292" s="1062"/>
      <c r="SD292" s="1062"/>
      <c r="SE292" s="1062"/>
      <c r="SF292" s="1062"/>
      <c r="SG292" s="1062"/>
      <c r="SH292" s="1062"/>
      <c r="SI292" s="1062"/>
      <c r="SJ292" s="1062"/>
      <c r="SK292" s="1062"/>
      <c r="SL292" s="1062"/>
      <c r="SM292" s="1062"/>
      <c r="SN292" s="1062"/>
      <c r="SO292" s="1062"/>
      <c r="SP292" s="1062"/>
      <c r="SQ292" s="1062"/>
      <c r="SR292" s="1062"/>
      <c r="SS292" s="1062"/>
      <c r="ST292" s="1062"/>
      <c r="SU292" s="1062"/>
      <c r="SV292" s="1062"/>
      <c r="SW292" s="1062"/>
      <c r="SX292" s="1062"/>
      <c r="SY292" s="1062"/>
      <c r="SZ292" s="1062"/>
      <c r="TA292" s="1062"/>
      <c r="TB292" s="1062"/>
      <c r="TC292" s="1062"/>
      <c r="TD292" s="1062"/>
      <c r="TE292" s="1062"/>
      <c r="TF292" s="1062"/>
      <c r="TG292" s="1062"/>
      <c r="TH292" s="1062"/>
      <c r="TI292" s="1062"/>
      <c r="TJ292" s="1062"/>
      <c r="TK292" s="1062"/>
      <c r="TL292" s="1062"/>
      <c r="TM292" s="1062"/>
      <c r="TN292" s="1062"/>
      <c r="TO292" s="1062"/>
      <c r="TP292" s="1062"/>
      <c r="TQ292" s="1062"/>
      <c r="TR292" s="1062"/>
      <c r="TS292" s="1062"/>
      <c r="TT292" s="1062"/>
      <c r="TU292" s="1062"/>
      <c r="TV292" s="1062"/>
      <c r="TW292" s="1062"/>
      <c r="TX292" s="1062"/>
      <c r="TY292" s="1062"/>
      <c r="TZ292" s="1062"/>
      <c r="UA292" s="1062"/>
      <c r="UB292" s="1062"/>
      <c r="UC292" s="1062"/>
      <c r="UD292" s="1062"/>
      <c r="UE292" s="1062"/>
      <c r="UF292" s="1062"/>
      <c r="UG292" s="1062"/>
      <c r="UH292" s="1062"/>
      <c r="UI292" s="1062"/>
      <c r="UJ292" s="1062"/>
      <c r="UK292" s="1062"/>
      <c r="UL292" s="1062"/>
      <c r="UM292" s="1062"/>
      <c r="UN292" s="1062"/>
      <c r="UO292" s="1062"/>
      <c r="UP292" s="1062"/>
      <c r="UQ292" s="1062"/>
      <c r="UR292" s="1062"/>
      <c r="US292" s="1062"/>
      <c r="UT292" s="1062"/>
      <c r="UU292" s="1062"/>
      <c r="UV292" s="1062"/>
      <c r="UW292" s="1062"/>
      <c r="UX292" s="1062"/>
      <c r="UY292" s="1062"/>
      <c r="UZ292" s="1062"/>
      <c r="VA292" s="1062"/>
      <c r="VB292" s="1062"/>
      <c r="VC292" s="1062"/>
      <c r="VD292" s="1062"/>
      <c r="VE292" s="1062"/>
      <c r="VF292" s="1062"/>
      <c r="VG292" s="1062"/>
      <c r="VH292" s="1062"/>
      <c r="VI292" s="1062"/>
      <c r="VJ292" s="1062"/>
      <c r="VK292" s="1062"/>
      <c r="VL292" s="1062"/>
      <c r="VM292" s="1062"/>
      <c r="VN292" s="1062"/>
      <c r="VO292" s="1062"/>
      <c r="VP292" s="1062"/>
      <c r="VQ292" s="1062"/>
      <c r="VR292" s="1062"/>
      <c r="VS292" s="1062"/>
      <c r="VT292" s="1062"/>
      <c r="VU292" s="1062"/>
      <c r="VV292" s="1062"/>
      <c r="VW292" s="1062"/>
      <c r="VX292" s="1062"/>
      <c r="VY292" s="1062"/>
      <c r="VZ292" s="1062"/>
      <c r="WA292" s="1062"/>
      <c r="WB292" s="1062"/>
      <c r="WC292" s="1062"/>
      <c r="WD292" s="1062"/>
      <c r="WE292" s="1062"/>
      <c r="WF292" s="1062"/>
      <c r="WG292" s="1062"/>
      <c r="WH292" s="1062"/>
      <c r="WI292" s="1062"/>
      <c r="WJ292" s="1062"/>
      <c r="WK292" s="1062"/>
      <c r="WL292" s="1062"/>
      <c r="WM292" s="1062"/>
      <c r="WN292" s="1062"/>
      <c r="WO292" s="1062"/>
      <c r="WP292" s="1062"/>
      <c r="WQ292" s="1062"/>
      <c r="WR292" s="1062"/>
      <c r="WS292" s="1062"/>
      <c r="WT292" s="1062"/>
      <c r="WU292" s="1062"/>
      <c r="WV292" s="1062"/>
      <c r="WW292" s="1062"/>
      <c r="WX292" s="1062"/>
      <c r="WY292" s="1062"/>
      <c r="WZ292" s="1062"/>
      <c r="XA292" s="1062"/>
      <c r="XB292" s="1062"/>
      <c r="XC292" s="1062"/>
      <c r="XD292" s="1062"/>
      <c r="XE292" s="1062"/>
      <c r="XF292" s="1062"/>
      <c r="XG292" s="1062"/>
      <c r="XH292" s="1062"/>
      <c r="XI292" s="1062"/>
      <c r="XJ292" s="1062"/>
      <c r="XK292" s="1062"/>
      <c r="XL292" s="1062"/>
      <c r="XM292" s="1062"/>
      <c r="XN292" s="1062"/>
      <c r="XO292" s="1062"/>
      <c r="XP292" s="1062"/>
      <c r="XQ292" s="1062"/>
      <c r="XR292" s="1062"/>
      <c r="XS292" s="1062"/>
      <c r="XT292" s="1062"/>
      <c r="XU292" s="1062"/>
      <c r="XV292" s="1062"/>
      <c r="XW292" s="1062"/>
      <c r="XX292" s="1062"/>
      <c r="XY292" s="1062"/>
      <c r="XZ292" s="1062"/>
      <c r="YA292" s="1062"/>
      <c r="YB292" s="1062"/>
      <c r="YC292" s="1062"/>
      <c r="YD292" s="1062"/>
      <c r="YE292" s="1062"/>
      <c r="YF292" s="1062"/>
      <c r="YG292" s="1062"/>
      <c r="YH292" s="1062"/>
      <c r="YI292" s="1062"/>
      <c r="YJ292" s="1062"/>
      <c r="YK292" s="1062"/>
      <c r="YL292" s="1062"/>
      <c r="YM292" s="1062"/>
      <c r="YN292" s="1062"/>
      <c r="YO292" s="1062"/>
      <c r="YP292" s="1062"/>
      <c r="YQ292" s="1062"/>
      <c r="YR292" s="1062"/>
      <c r="YS292" s="1062"/>
      <c r="YT292" s="1062"/>
      <c r="YU292" s="1062"/>
      <c r="YV292" s="1062"/>
      <c r="YW292" s="1062"/>
      <c r="YX292" s="1062"/>
      <c r="YY292" s="1062"/>
      <c r="YZ292" s="1062"/>
      <c r="ZA292" s="1062"/>
      <c r="ZB292" s="1062"/>
      <c r="ZC292" s="1062"/>
      <c r="ZD292" s="1062"/>
      <c r="ZE292" s="1062"/>
      <c r="ZF292" s="1062"/>
      <c r="ZG292" s="1062"/>
      <c r="ZH292" s="1062"/>
      <c r="ZI292" s="1062"/>
      <c r="ZJ292" s="1062"/>
      <c r="ZK292" s="1062"/>
      <c r="ZL292" s="1062"/>
      <c r="ZM292" s="1062"/>
      <c r="ZN292" s="1062"/>
      <c r="ZO292" s="1062"/>
      <c r="ZP292" s="1062"/>
      <c r="ZQ292" s="1062"/>
      <c r="ZR292" s="1062"/>
      <c r="ZS292" s="1062"/>
      <c r="ZT292" s="1062"/>
      <c r="ZU292" s="1062"/>
      <c r="ZV292" s="1062"/>
      <c r="ZW292" s="1062"/>
      <c r="ZX292" s="1062"/>
      <c r="ZY292" s="1062"/>
      <c r="ZZ292" s="1062"/>
      <c r="AAA292" s="1062"/>
      <c r="AAB292" s="1062"/>
      <c r="AAC292" s="1062"/>
      <c r="AAD292" s="1062"/>
      <c r="AAE292" s="1062"/>
      <c r="AAF292" s="1062"/>
      <c r="AAG292" s="1062"/>
      <c r="AAH292" s="1062"/>
      <c r="AAI292" s="1062"/>
      <c r="AAJ292" s="1062"/>
      <c r="AAK292" s="1062"/>
      <c r="AAL292" s="1062"/>
      <c r="AAM292" s="1062"/>
      <c r="AAN292" s="1062"/>
      <c r="AAO292" s="1062"/>
      <c r="AAP292" s="1062"/>
      <c r="AAQ292" s="1062"/>
      <c r="AAR292" s="1062"/>
      <c r="AAS292" s="1062"/>
      <c r="AAT292" s="1062"/>
      <c r="AAU292" s="1062"/>
      <c r="AAV292" s="1062"/>
      <c r="AAW292" s="1062"/>
      <c r="AAX292" s="1062"/>
      <c r="AAY292" s="1062"/>
      <c r="AAZ292" s="1062"/>
      <c r="ABA292" s="1062"/>
      <c r="ABB292" s="1062"/>
      <c r="ABC292" s="1062"/>
      <c r="ABD292" s="1062"/>
      <c r="ABE292" s="1062"/>
      <c r="ABF292" s="1062"/>
      <c r="ABG292" s="1062"/>
      <c r="ABH292" s="1062"/>
      <c r="ABI292" s="1062"/>
      <c r="ABJ292" s="1062"/>
      <c r="ABK292" s="1062"/>
      <c r="ABL292" s="1062"/>
      <c r="ABM292" s="1062"/>
      <c r="ABN292" s="1062"/>
      <c r="ABO292" s="1062"/>
      <c r="ABP292" s="1062"/>
      <c r="ABQ292" s="1062"/>
      <c r="ABR292" s="1062"/>
      <c r="ABS292" s="1062"/>
      <c r="ABT292" s="1062"/>
      <c r="ABU292" s="1062"/>
      <c r="ABV292" s="1062"/>
      <c r="ABW292" s="1062"/>
      <c r="ABX292" s="1062"/>
      <c r="ABY292" s="1062"/>
      <c r="ABZ292" s="1062"/>
      <c r="ACA292" s="1062"/>
      <c r="ACB292" s="1062"/>
      <c r="ACC292" s="1062"/>
      <c r="ACD292" s="1062"/>
      <c r="ACE292" s="1062"/>
      <c r="ACF292" s="1062"/>
      <c r="ACG292" s="1062"/>
      <c r="ACH292" s="1062"/>
      <c r="ACI292" s="1062"/>
      <c r="ACJ292" s="1062"/>
      <c r="ACK292" s="1062"/>
      <c r="ACL292" s="1062"/>
      <c r="ACM292" s="1062"/>
      <c r="ACN292" s="1062"/>
      <c r="ACO292" s="1062"/>
      <c r="ACP292" s="1062"/>
      <c r="ACQ292" s="1062"/>
      <c r="ACR292" s="1062"/>
      <c r="ACS292" s="1062"/>
      <c r="ACT292" s="1062"/>
      <c r="ACU292" s="1062"/>
      <c r="ACV292" s="1062"/>
      <c r="ACW292" s="1062"/>
      <c r="ACX292" s="1062"/>
      <c r="ACY292" s="1062"/>
      <c r="ACZ292" s="1062"/>
      <c r="ADA292" s="1062"/>
      <c r="ADB292" s="1062"/>
      <c r="ADC292" s="1062"/>
      <c r="ADD292" s="1062"/>
      <c r="ADE292" s="1062"/>
      <c r="ADF292" s="1062"/>
      <c r="ADG292" s="1062"/>
      <c r="ADH292" s="1062"/>
      <c r="ADI292" s="1062"/>
      <c r="ADJ292" s="1062"/>
      <c r="ADK292" s="1062"/>
      <c r="ADL292" s="1062"/>
      <c r="ADM292" s="1062"/>
      <c r="ADN292" s="1062"/>
      <c r="ADO292" s="1062"/>
      <c r="ADP292" s="1062"/>
      <c r="ADQ292" s="1062"/>
      <c r="ADR292" s="1062"/>
      <c r="ADS292" s="1062"/>
      <c r="ADT292" s="1062"/>
      <c r="ADU292" s="1062"/>
      <c r="ADV292" s="1062"/>
      <c r="ADW292" s="1062"/>
      <c r="ADX292" s="1062"/>
      <c r="ADY292" s="1062"/>
      <c r="ADZ292" s="1062"/>
      <c r="AEA292" s="1062"/>
      <c r="AEB292" s="1062"/>
      <c r="AEC292" s="1062"/>
      <c r="AED292" s="1062"/>
      <c r="AEE292" s="1062"/>
      <c r="AEF292" s="1062"/>
      <c r="AEG292" s="1062"/>
      <c r="AEH292" s="1062"/>
      <c r="AEI292" s="1062"/>
      <c r="AEJ292" s="1062"/>
      <c r="AEK292" s="1062"/>
      <c r="AEL292" s="1062"/>
      <c r="AEM292" s="1062"/>
      <c r="AEN292" s="1062"/>
      <c r="AEO292" s="1062"/>
      <c r="AEP292" s="1062"/>
      <c r="AEQ292" s="1062"/>
      <c r="AER292" s="1062"/>
      <c r="AES292" s="1062"/>
      <c r="AET292" s="1062"/>
      <c r="AEU292" s="1062"/>
      <c r="AEV292" s="1062"/>
      <c r="AEW292" s="1062"/>
      <c r="AEX292" s="1062"/>
      <c r="AEY292" s="1062"/>
      <c r="AEZ292" s="1062"/>
      <c r="AFA292" s="1062"/>
      <c r="AFB292" s="1062"/>
      <c r="AFC292" s="1062"/>
      <c r="AFD292" s="1062"/>
      <c r="AFE292" s="1062"/>
      <c r="AFF292" s="1062"/>
      <c r="AFG292" s="1062"/>
      <c r="AFH292" s="1062"/>
      <c r="AFI292" s="1062"/>
      <c r="AFJ292" s="1062"/>
      <c r="AFK292" s="1062"/>
      <c r="AFL292" s="1062"/>
      <c r="AFM292" s="1062"/>
      <c r="AFN292" s="1062"/>
      <c r="AFO292" s="1062"/>
      <c r="AFP292" s="1062"/>
      <c r="AFQ292" s="1062"/>
      <c r="AFR292" s="1062"/>
      <c r="AFS292" s="1062"/>
      <c r="AFT292" s="1062"/>
      <c r="AFU292" s="1062"/>
      <c r="AFV292" s="1062"/>
      <c r="AFW292" s="1062"/>
      <c r="AFX292" s="1062"/>
      <c r="AFY292" s="1062"/>
      <c r="AFZ292" s="1062"/>
      <c r="AGA292" s="1062"/>
      <c r="AGB292" s="1062"/>
      <c r="AGC292" s="1062"/>
      <c r="AGD292" s="1062"/>
      <c r="AGE292" s="1062"/>
      <c r="AGF292" s="1062"/>
      <c r="AGG292" s="1062"/>
      <c r="AGH292" s="1062"/>
      <c r="AGI292" s="1062"/>
      <c r="AGJ292" s="1062"/>
      <c r="AGK292" s="1062"/>
      <c r="AGL292" s="1062"/>
      <c r="AGM292" s="1062"/>
      <c r="AGN292" s="1062"/>
      <c r="AGO292" s="1062"/>
      <c r="AGP292" s="1062"/>
      <c r="AGQ292" s="1062"/>
      <c r="AGR292" s="1062"/>
      <c r="AGS292" s="1062"/>
      <c r="AGT292" s="1062"/>
      <c r="AGU292" s="1062"/>
      <c r="AGV292" s="1062"/>
      <c r="AGW292" s="1062"/>
      <c r="AGX292" s="1062"/>
      <c r="AGY292" s="1062"/>
      <c r="AGZ292" s="1062"/>
      <c r="AHA292" s="1062"/>
      <c r="AHB292" s="1062"/>
      <c r="AHC292" s="1062"/>
      <c r="AHD292" s="1062"/>
      <c r="AHE292" s="1062"/>
      <c r="AHF292" s="1062"/>
      <c r="AHG292" s="1062"/>
      <c r="AHH292" s="1062"/>
      <c r="AHI292" s="1062"/>
      <c r="AHJ292" s="1062"/>
      <c r="AHK292" s="1062"/>
      <c r="AHL292" s="1062"/>
      <c r="AHM292" s="1062"/>
      <c r="AHN292" s="1062"/>
      <c r="AHO292" s="1062"/>
      <c r="AHP292" s="1062"/>
      <c r="AHQ292" s="1062"/>
      <c r="AHR292" s="1062"/>
      <c r="AHS292" s="1062"/>
      <c r="AHT292" s="1062"/>
      <c r="AHU292" s="1062"/>
      <c r="AHV292" s="1062"/>
      <c r="AHW292" s="1062"/>
      <c r="AHX292" s="1062"/>
      <c r="AHY292" s="1062"/>
      <c r="AHZ292" s="1062"/>
      <c r="AIA292" s="1062"/>
      <c r="AIB292" s="1062"/>
      <c r="AIC292" s="1062"/>
      <c r="AID292" s="1062"/>
      <c r="AIE292" s="1062"/>
      <c r="AIF292" s="1062"/>
      <c r="AIG292" s="1062"/>
      <c r="AIH292" s="1062"/>
      <c r="AII292" s="1062"/>
      <c r="AIJ292" s="1062"/>
      <c r="AIK292" s="1062"/>
      <c r="AIL292" s="1062"/>
      <c r="AIM292" s="1062"/>
      <c r="AIN292" s="1062"/>
      <c r="AIO292" s="1062"/>
      <c r="AIP292" s="1062"/>
      <c r="AIQ292" s="1062"/>
      <c r="AIR292" s="1062"/>
      <c r="AIS292" s="1062"/>
      <c r="AIT292" s="1062"/>
      <c r="AIU292" s="1062"/>
      <c r="AIV292" s="1062"/>
      <c r="AIW292" s="1062"/>
      <c r="AIX292" s="1062"/>
      <c r="AIY292" s="1062"/>
      <c r="AIZ292" s="1062"/>
      <c r="AJA292" s="1062"/>
      <c r="AJB292" s="1062"/>
      <c r="AJC292" s="1062"/>
      <c r="AJD292" s="1062"/>
      <c r="AJE292" s="1062"/>
      <c r="AJF292" s="1062"/>
      <c r="AJG292" s="1062"/>
      <c r="AJH292" s="1062"/>
      <c r="AJI292" s="1062"/>
      <c r="AJJ292" s="1062"/>
      <c r="AJK292" s="1062"/>
      <c r="AJL292" s="1062"/>
      <c r="AJM292" s="1062"/>
      <c r="AJN292" s="1062"/>
      <c r="AJO292" s="1062"/>
      <c r="AJP292" s="1062"/>
      <c r="AJQ292" s="1062"/>
      <c r="AJR292" s="1062"/>
      <c r="AJS292" s="1062"/>
      <c r="AJT292" s="1062"/>
      <c r="AJU292" s="1062"/>
      <c r="AJV292" s="1062"/>
      <c r="AJW292" s="1062"/>
      <c r="AJX292" s="1062"/>
      <c r="AJY292" s="1062"/>
      <c r="AJZ292" s="1062"/>
      <c r="AKA292" s="1062"/>
      <c r="AKB292" s="1062"/>
      <c r="AKC292" s="1062"/>
      <c r="AKD292" s="1062"/>
      <c r="AKE292" s="1062"/>
      <c r="AKF292" s="1062"/>
      <c r="AKG292" s="1062"/>
      <c r="AKH292" s="1062"/>
      <c r="AKI292" s="1062"/>
      <c r="AKJ292" s="1062"/>
      <c r="AKK292" s="1062"/>
      <c r="AKL292" s="1062"/>
      <c r="AKM292" s="1062"/>
      <c r="AKN292" s="1062"/>
      <c r="AKO292" s="1062"/>
      <c r="AKP292" s="1062"/>
      <c r="AKQ292" s="1062"/>
      <c r="AKR292" s="1062"/>
      <c r="AKS292" s="1062"/>
      <c r="AKT292" s="1062"/>
      <c r="AKU292" s="1062"/>
      <c r="AKV292" s="1062"/>
      <c r="AKW292" s="1062"/>
      <c r="AKX292" s="1062"/>
      <c r="AKY292" s="1062"/>
      <c r="AKZ292" s="1062"/>
      <c r="ALA292" s="1062"/>
      <c r="ALB292" s="1062"/>
      <c r="ALC292" s="1062"/>
      <c r="ALD292" s="1062"/>
      <c r="ALE292" s="1062"/>
      <c r="ALF292" s="1062"/>
      <c r="ALG292" s="1062"/>
      <c r="ALH292" s="1062"/>
      <c r="ALI292" s="1062"/>
      <c r="ALJ292" s="1062"/>
      <c r="ALK292" s="1062"/>
      <c r="ALL292" s="1062"/>
      <c r="ALM292" s="1062"/>
      <c r="ALN292" s="1062"/>
      <c r="ALO292" s="1062"/>
      <c r="ALP292" s="1062"/>
      <c r="ALQ292" s="1062"/>
      <c r="ALR292" s="1062"/>
      <c r="ALS292" s="1062"/>
      <c r="ALT292" s="1062"/>
      <c r="ALU292" s="1062"/>
      <c r="ALV292" s="1062"/>
      <c r="ALW292" s="1062"/>
      <c r="ALX292" s="1062"/>
      <c r="ALY292" s="1062"/>
      <c r="ALZ292" s="1062"/>
      <c r="AMA292" s="1062"/>
      <c r="AMB292" s="1062"/>
      <c r="AMC292" s="1062"/>
      <c r="AMD292" s="1062"/>
      <c r="AME292" s="1062"/>
      <c r="AMF292" s="1062"/>
      <c r="AMG292" s="1062"/>
      <c r="AMH292" s="1062"/>
      <c r="AMI292" s="1062"/>
      <c r="AMJ292" s="1062"/>
    </row>
    <row r="293" spans="1:1024" ht="15" customHeight="1">
      <c r="A293" s="741" t="s">
        <v>2</v>
      </c>
      <c r="B293" s="795"/>
      <c r="C293" s="747"/>
      <c r="D293" s="747">
        <f>SUM(D268:D292)</f>
        <v>0</v>
      </c>
      <c r="E293" s="1099">
        <f>SUM(E268:E292)</f>
        <v>415</v>
      </c>
      <c r="F293" s="1099">
        <f>SUM(F268:F292)</f>
        <v>384</v>
      </c>
      <c r="G293" s="1012">
        <f t="shared" si="22"/>
        <v>415</v>
      </c>
      <c r="H293" s="1012">
        <f t="shared" si="23"/>
        <v>384</v>
      </c>
    </row>
    <row r="294" spans="1:1024" ht="15" customHeight="1">
      <c r="A294" s="796"/>
      <c r="B294" s="744" t="s">
        <v>2842</v>
      </c>
      <c r="C294" s="736"/>
      <c r="D294" s="736"/>
      <c r="E294" s="736"/>
      <c r="F294" s="736"/>
      <c r="G294" s="736"/>
      <c r="H294" s="736"/>
    </row>
    <row r="295" spans="1:1024" ht="15" customHeight="1">
      <c r="A295" s="713" t="s">
        <v>2342</v>
      </c>
      <c r="B295" s="714" t="s">
        <v>2652</v>
      </c>
      <c r="C295" s="717"/>
      <c r="D295" s="717"/>
      <c r="E295" s="717">
        <v>46</v>
      </c>
      <c r="F295" s="1095">
        <v>46</v>
      </c>
      <c r="G295" s="718">
        <f t="shared" si="22"/>
        <v>46</v>
      </c>
      <c r="H295" s="955">
        <f t="shared" si="22"/>
        <v>46</v>
      </c>
    </row>
    <row r="296" spans="1:1024" ht="15" customHeight="1">
      <c r="A296" s="713" t="s">
        <v>2113</v>
      </c>
      <c r="B296" s="714" t="s">
        <v>2114</v>
      </c>
      <c r="C296" s="717"/>
      <c r="D296" s="717"/>
      <c r="E296" s="717">
        <v>47</v>
      </c>
      <c r="F296" s="1095">
        <v>47</v>
      </c>
      <c r="G296" s="718">
        <f t="shared" si="22"/>
        <v>47</v>
      </c>
      <c r="H296" s="955">
        <f t="shared" si="22"/>
        <v>47</v>
      </c>
    </row>
    <row r="297" spans="1:1024" ht="15" customHeight="1">
      <c r="A297" s="713" t="s">
        <v>2823</v>
      </c>
      <c r="B297" s="714" t="s">
        <v>2824</v>
      </c>
      <c r="C297" s="717"/>
      <c r="D297" s="717"/>
      <c r="E297" s="717">
        <v>14</v>
      </c>
      <c r="F297" s="1095">
        <v>14</v>
      </c>
      <c r="G297" s="718">
        <f t="shared" si="22"/>
        <v>14</v>
      </c>
      <c r="H297" s="955">
        <f t="shared" si="22"/>
        <v>14</v>
      </c>
    </row>
    <row r="298" spans="1:1024" ht="15" customHeight="1">
      <c r="A298" s="800" t="s">
        <v>2825</v>
      </c>
      <c r="B298" s="714" t="s">
        <v>2843</v>
      </c>
      <c r="C298" s="717"/>
      <c r="D298" s="717"/>
      <c r="E298" s="717">
        <v>10</v>
      </c>
      <c r="F298" s="1095">
        <v>10</v>
      </c>
      <c r="G298" s="718">
        <f t="shared" si="22"/>
        <v>10</v>
      </c>
      <c r="H298" s="955">
        <f t="shared" si="22"/>
        <v>10</v>
      </c>
    </row>
    <row r="299" spans="1:1024" ht="15" customHeight="1">
      <c r="A299" s="713" t="s">
        <v>2827</v>
      </c>
      <c r="B299" s="714" t="s">
        <v>2828</v>
      </c>
      <c r="C299" s="717"/>
      <c r="D299" s="717"/>
      <c r="E299" s="717">
        <v>33</v>
      </c>
      <c r="F299" s="1095">
        <v>33</v>
      </c>
      <c r="G299" s="718">
        <f t="shared" si="22"/>
        <v>33</v>
      </c>
      <c r="H299" s="955">
        <f t="shared" si="22"/>
        <v>33</v>
      </c>
    </row>
    <row r="300" spans="1:1024" ht="15" customHeight="1">
      <c r="A300" s="713" t="s">
        <v>2829</v>
      </c>
      <c r="B300" s="714" t="s">
        <v>2830</v>
      </c>
      <c r="C300" s="717"/>
      <c r="D300" s="717"/>
      <c r="E300" s="717">
        <v>8</v>
      </c>
      <c r="F300" s="1095">
        <v>8</v>
      </c>
      <c r="G300" s="718">
        <f t="shared" si="22"/>
        <v>8</v>
      </c>
      <c r="H300" s="955">
        <f t="shared" si="22"/>
        <v>8</v>
      </c>
    </row>
    <row r="301" spans="1:1024" ht="15" customHeight="1">
      <c r="A301" s="713" t="s">
        <v>2831</v>
      </c>
      <c r="B301" s="714" t="s">
        <v>2832</v>
      </c>
      <c r="C301" s="717"/>
      <c r="D301" s="717"/>
      <c r="E301" s="717">
        <v>33</v>
      </c>
      <c r="F301" s="1095">
        <v>33</v>
      </c>
      <c r="G301" s="718">
        <f t="shared" si="22"/>
        <v>33</v>
      </c>
      <c r="H301" s="955">
        <f t="shared" si="22"/>
        <v>33</v>
      </c>
    </row>
    <row r="302" spans="1:1024" ht="15" customHeight="1">
      <c r="A302" s="713" t="s">
        <v>2835</v>
      </c>
      <c r="B302" s="714" t="s">
        <v>2836</v>
      </c>
      <c r="C302" s="717"/>
      <c r="D302" s="717"/>
      <c r="E302" s="717">
        <v>0</v>
      </c>
      <c r="F302" s="1095">
        <v>0</v>
      </c>
      <c r="G302" s="718">
        <f t="shared" si="22"/>
        <v>0</v>
      </c>
      <c r="H302" s="955">
        <f t="shared" si="22"/>
        <v>0</v>
      </c>
    </row>
    <row r="303" spans="1:1024" ht="15" customHeight="1">
      <c r="A303" s="713" t="s">
        <v>2129</v>
      </c>
      <c r="B303" s="740" t="s">
        <v>2130</v>
      </c>
      <c r="C303" s="717"/>
      <c r="D303" s="717"/>
      <c r="E303" s="717">
        <v>1</v>
      </c>
      <c r="F303" s="1095">
        <v>1</v>
      </c>
      <c r="G303" s="718">
        <f t="shared" si="22"/>
        <v>1</v>
      </c>
      <c r="H303" s="955">
        <f t="shared" si="22"/>
        <v>1</v>
      </c>
    </row>
    <row r="304" spans="1:1024" ht="15" customHeight="1">
      <c r="A304" s="713" t="s">
        <v>2133</v>
      </c>
      <c r="B304" s="714" t="s">
        <v>2134</v>
      </c>
      <c r="C304" s="717"/>
      <c r="D304" s="717"/>
      <c r="E304" s="717">
        <v>13</v>
      </c>
      <c r="F304" s="1095">
        <v>13</v>
      </c>
      <c r="G304" s="718">
        <f t="shared" si="22"/>
        <v>13</v>
      </c>
      <c r="H304" s="955">
        <f t="shared" si="22"/>
        <v>13</v>
      </c>
    </row>
    <row r="305" spans="1:8" ht="15" customHeight="1">
      <c r="A305" s="741" t="s">
        <v>2</v>
      </c>
      <c r="B305" s="786"/>
      <c r="C305" s="747"/>
      <c r="D305" s="747">
        <f>SUM(D295:D304)</f>
        <v>0</v>
      </c>
      <c r="E305" s="1099">
        <f>SUM(E295:E304)</f>
        <v>205</v>
      </c>
      <c r="F305" s="1099">
        <f>SUM(F295:F304)</f>
        <v>205</v>
      </c>
      <c r="G305" s="1112">
        <f t="shared" si="22"/>
        <v>205</v>
      </c>
      <c r="H305" s="1112">
        <f t="shared" si="23"/>
        <v>205</v>
      </c>
    </row>
    <row r="306" spans="1:8" ht="15" customHeight="1">
      <c r="A306" s="801"/>
      <c r="B306" s="802" t="s">
        <v>55</v>
      </c>
      <c r="C306" s="803"/>
      <c r="D306" s="804" t="s">
        <v>1861</v>
      </c>
      <c r="E306" s="803"/>
      <c r="F306" s="803"/>
      <c r="G306" s="803"/>
      <c r="H306" s="803"/>
    </row>
    <row r="307" spans="1:8" ht="15" customHeight="1">
      <c r="A307" s="805"/>
      <c r="B307" s="806" t="s">
        <v>2876</v>
      </c>
      <c r="C307" s="752"/>
      <c r="D307" s="752"/>
      <c r="E307" s="752"/>
      <c r="F307" s="752"/>
      <c r="G307" s="955"/>
      <c r="H307" s="955"/>
    </row>
    <row r="308" spans="1:8" ht="15" customHeight="1">
      <c r="A308" s="734"/>
      <c r="B308" s="807" t="s">
        <v>2877</v>
      </c>
      <c r="C308" s="736"/>
      <c r="D308" s="736"/>
      <c r="E308" s="736"/>
      <c r="F308" s="736"/>
      <c r="G308" s="955"/>
      <c r="H308" s="955"/>
    </row>
    <row r="309" spans="1:8" ht="15" customHeight="1">
      <c r="A309" s="808" t="s">
        <v>2845</v>
      </c>
      <c r="B309" s="728" t="s">
        <v>2846</v>
      </c>
      <c r="C309" s="717"/>
      <c r="D309" s="717"/>
      <c r="E309" s="717">
        <v>0</v>
      </c>
      <c r="F309" s="717">
        <v>10</v>
      </c>
      <c r="G309" s="718">
        <f t="shared" ref="G309:G332" si="24">C309+E309</f>
        <v>0</v>
      </c>
      <c r="H309" s="718">
        <f t="shared" ref="H309:H332" si="25">D309+F309</f>
        <v>10</v>
      </c>
    </row>
    <row r="310" spans="1:8" ht="15" customHeight="1">
      <c r="A310" s="713" t="s">
        <v>2847</v>
      </c>
      <c r="B310" s="728" t="s">
        <v>2848</v>
      </c>
      <c r="C310" s="717"/>
      <c r="D310" s="717"/>
      <c r="E310" s="717">
        <v>35</v>
      </c>
      <c r="F310" s="717">
        <v>170</v>
      </c>
      <c r="G310" s="718">
        <f t="shared" si="24"/>
        <v>35</v>
      </c>
      <c r="H310" s="718">
        <f t="shared" si="25"/>
        <v>170</v>
      </c>
    </row>
    <row r="311" spans="1:8" ht="15" customHeight="1">
      <c r="A311" s="809" t="s">
        <v>2849</v>
      </c>
      <c r="B311" s="810" t="s">
        <v>2850</v>
      </c>
      <c r="C311" s="717"/>
      <c r="D311" s="717"/>
      <c r="E311" s="717">
        <v>0</v>
      </c>
      <c r="F311" s="717">
        <v>4</v>
      </c>
      <c r="G311" s="718">
        <f t="shared" si="24"/>
        <v>0</v>
      </c>
      <c r="H311" s="718">
        <f t="shared" si="25"/>
        <v>4</v>
      </c>
    </row>
    <row r="312" spans="1:8" ht="15" customHeight="1">
      <c r="A312" s="713" t="s">
        <v>2851</v>
      </c>
      <c r="B312" s="714" t="s">
        <v>2852</v>
      </c>
      <c r="C312" s="717"/>
      <c r="D312" s="717"/>
      <c r="E312" s="717">
        <v>33</v>
      </c>
      <c r="F312" s="717">
        <v>20</v>
      </c>
      <c r="G312" s="718">
        <f t="shared" si="24"/>
        <v>33</v>
      </c>
      <c r="H312" s="718">
        <f t="shared" si="25"/>
        <v>20</v>
      </c>
    </row>
    <row r="313" spans="1:8" ht="15" customHeight="1">
      <c r="A313" s="713" t="s">
        <v>2853</v>
      </c>
      <c r="B313" s="728" t="s">
        <v>2854</v>
      </c>
      <c r="C313" s="717"/>
      <c r="D313" s="717"/>
      <c r="E313" s="717">
        <v>27</v>
      </c>
      <c r="F313" s="717">
        <v>30</v>
      </c>
      <c r="G313" s="718">
        <f t="shared" si="24"/>
        <v>27</v>
      </c>
      <c r="H313" s="718">
        <f t="shared" si="25"/>
        <v>30</v>
      </c>
    </row>
    <row r="314" spans="1:8" ht="15" customHeight="1">
      <c r="A314" s="713" t="s">
        <v>2855</v>
      </c>
      <c r="B314" s="728" t="s">
        <v>2856</v>
      </c>
      <c r="C314" s="717"/>
      <c r="D314" s="717"/>
      <c r="E314" s="717">
        <v>79</v>
      </c>
      <c r="F314" s="717">
        <v>300</v>
      </c>
      <c r="G314" s="718">
        <f t="shared" si="24"/>
        <v>79</v>
      </c>
      <c r="H314" s="718">
        <f t="shared" si="25"/>
        <v>300</v>
      </c>
    </row>
    <row r="315" spans="1:8" ht="15" customHeight="1">
      <c r="A315" s="713" t="s">
        <v>2857</v>
      </c>
      <c r="B315" s="728" t="s">
        <v>2858</v>
      </c>
      <c r="C315" s="717"/>
      <c r="D315" s="717"/>
      <c r="E315" s="717">
        <v>1</v>
      </c>
      <c r="F315" s="717">
        <v>5</v>
      </c>
      <c r="G315" s="718">
        <f t="shared" si="24"/>
        <v>1</v>
      </c>
      <c r="H315" s="718">
        <f t="shared" si="25"/>
        <v>5</v>
      </c>
    </row>
    <row r="316" spans="1:8" ht="15" customHeight="1">
      <c r="A316" s="809" t="s">
        <v>2086</v>
      </c>
      <c r="B316" s="811" t="s">
        <v>2859</v>
      </c>
      <c r="C316" s="717"/>
      <c r="D316" s="717"/>
      <c r="E316" s="717">
        <v>2</v>
      </c>
      <c r="F316" s="717">
        <v>5</v>
      </c>
      <c r="G316" s="718">
        <f t="shared" si="24"/>
        <v>2</v>
      </c>
      <c r="H316" s="718">
        <f t="shared" si="25"/>
        <v>5</v>
      </c>
    </row>
    <row r="317" spans="1:8" ht="15" customHeight="1">
      <c r="A317" s="713" t="s">
        <v>2090</v>
      </c>
      <c r="B317" s="728" t="s">
        <v>2091</v>
      </c>
      <c r="C317" s="717"/>
      <c r="D317" s="717"/>
      <c r="E317" s="717">
        <v>27</v>
      </c>
      <c r="F317" s="717">
        <v>40</v>
      </c>
      <c r="G317" s="718">
        <f t="shared" si="24"/>
        <v>27</v>
      </c>
      <c r="H317" s="718">
        <f t="shared" si="25"/>
        <v>40</v>
      </c>
    </row>
    <row r="318" spans="1:8" ht="15" customHeight="1">
      <c r="A318" s="737" t="s">
        <v>2092</v>
      </c>
      <c r="B318" s="728" t="s">
        <v>2093</v>
      </c>
      <c r="C318" s="717"/>
      <c r="D318" s="717"/>
      <c r="E318" s="717">
        <v>11</v>
      </c>
      <c r="F318" s="717">
        <v>30</v>
      </c>
      <c r="G318" s="718">
        <f t="shared" si="24"/>
        <v>11</v>
      </c>
      <c r="H318" s="718">
        <f t="shared" si="25"/>
        <v>30</v>
      </c>
    </row>
    <row r="319" spans="1:8" ht="15" customHeight="1">
      <c r="A319" s="737" t="s">
        <v>2094</v>
      </c>
      <c r="B319" s="714" t="s">
        <v>2375</v>
      </c>
      <c r="C319" s="717"/>
      <c r="D319" s="717"/>
      <c r="E319" s="717">
        <v>30</v>
      </c>
      <c r="F319" s="717">
        <v>34</v>
      </c>
      <c r="G319" s="718">
        <f t="shared" si="24"/>
        <v>30</v>
      </c>
      <c r="H319" s="718">
        <f t="shared" si="25"/>
        <v>34</v>
      </c>
    </row>
    <row r="320" spans="1:8" ht="15" customHeight="1">
      <c r="A320" s="713" t="s">
        <v>2096</v>
      </c>
      <c r="B320" s="714" t="s">
        <v>2097</v>
      </c>
      <c r="C320" s="717"/>
      <c r="D320" s="717"/>
      <c r="E320" s="717">
        <v>21</v>
      </c>
      <c r="F320" s="717">
        <v>80</v>
      </c>
      <c r="G320" s="718">
        <f t="shared" si="24"/>
        <v>21</v>
      </c>
      <c r="H320" s="718">
        <f t="shared" si="25"/>
        <v>80</v>
      </c>
    </row>
    <row r="321" spans="1:8" ht="15" customHeight="1">
      <c r="A321" s="713" t="s">
        <v>2098</v>
      </c>
      <c r="B321" s="714" t="s">
        <v>2099</v>
      </c>
      <c r="C321" s="717"/>
      <c r="D321" s="717"/>
      <c r="E321" s="717">
        <v>34</v>
      </c>
      <c r="F321" s="717">
        <v>155</v>
      </c>
      <c r="G321" s="718">
        <f t="shared" si="24"/>
        <v>34</v>
      </c>
      <c r="H321" s="718">
        <f t="shared" si="25"/>
        <v>155</v>
      </c>
    </row>
    <row r="322" spans="1:8" ht="15" customHeight="1">
      <c r="A322" s="737" t="s">
        <v>2100</v>
      </c>
      <c r="B322" s="714" t="s">
        <v>2101</v>
      </c>
      <c r="C322" s="717"/>
      <c r="D322" s="717"/>
      <c r="E322" s="717">
        <v>81</v>
      </c>
      <c r="F322" s="717">
        <v>430</v>
      </c>
      <c r="G322" s="718">
        <f t="shared" si="24"/>
        <v>81</v>
      </c>
      <c r="H322" s="718">
        <f t="shared" si="25"/>
        <v>430</v>
      </c>
    </row>
    <row r="323" spans="1:8" ht="15" customHeight="1">
      <c r="A323" s="737" t="s">
        <v>2102</v>
      </c>
      <c r="B323" s="714" t="s">
        <v>2103</v>
      </c>
      <c r="C323" s="717"/>
      <c r="D323" s="717"/>
      <c r="E323" s="717">
        <v>141</v>
      </c>
      <c r="F323" s="717">
        <v>760</v>
      </c>
      <c r="G323" s="718">
        <f t="shared" si="24"/>
        <v>141</v>
      </c>
      <c r="H323" s="718">
        <f t="shared" si="25"/>
        <v>760</v>
      </c>
    </row>
    <row r="324" spans="1:8" ht="15" customHeight="1">
      <c r="A324" s="756" t="s">
        <v>2104</v>
      </c>
      <c r="B324" s="714" t="s">
        <v>2105</v>
      </c>
      <c r="C324" s="717"/>
      <c r="D324" s="717"/>
      <c r="E324" s="717">
        <v>107</v>
      </c>
      <c r="F324" s="717">
        <v>820</v>
      </c>
      <c r="G324" s="718">
        <f t="shared" si="24"/>
        <v>107</v>
      </c>
      <c r="H324" s="718">
        <f t="shared" si="25"/>
        <v>820</v>
      </c>
    </row>
    <row r="325" spans="1:8" ht="15" customHeight="1">
      <c r="A325" s="713" t="s">
        <v>2860</v>
      </c>
      <c r="B325" s="714" t="s">
        <v>2861</v>
      </c>
      <c r="C325" s="717"/>
      <c r="D325" s="717"/>
      <c r="E325" s="717">
        <v>0</v>
      </c>
      <c r="F325" s="717">
        <v>55</v>
      </c>
      <c r="G325" s="718">
        <f t="shared" si="24"/>
        <v>0</v>
      </c>
      <c r="H325" s="718">
        <f t="shared" si="25"/>
        <v>55</v>
      </c>
    </row>
    <row r="326" spans="1:8" ht="15" customHeight="1">
      <c r="A326" s="737" t="s">
        <v>2862</v>
      </c>
      <c r="B326" s="714" t="s">
        <v>2863</v>
      </c>
      <c r="C326" s="717"/>
      <c r="D326" s="717"/>
      <c r="E326" s="717">
        <v>0</v>
      </c>
      <c r="F326" s="717">
        <v>5</v>
      </c>
      <c r="G326" s="718">
        <f t="shared" si="24"/>
        <v>0</v>
      </c>
      <c r="H326" s="718">
        <f t="shared" si="25"/>
        <v>5</v>
      </c>
    </row>
    <row r="327" spans="1:8" ht="15" customHeight="1">
      <c r="A327" s="809" t="s">
        <v>2378</v>
      </c>
      <c r="B327" s="812" t="s">
        <v>2864</v>
      </c>
      <c r="C327" s="717"/>
      <c r="D327" s="717"/>
      <c r="E327" s="717">
        <v>20</v>
      </c>
      <c r="F327" s="717">
        <v>100</v>
      </c>
      <c r="G327" s="718">
        <f t="shared" si="24"/>
        <v>20</v>
      </c>
      <c r="H327" s="718">
        <f t="shared" si="25"/>
        <v>100</v>
      </c>
    </row>
    <row r="328" spans="1:8" ht="15" customHeight="1">
      <c r="A328" s="713" t="s">
        <v>2380</v>
      </c>
      <c r="B328" s="714" t="s">
        <v>2865</v>
      </c>
      <c r="C328" s="717"/>
      <c r="D328" s="717"/>
      <c r="E328" s="717">
        <v>94</v>
      </c>
      <c r="F328" s="717">
        <v>580</v>
      </c>
      <c r="G328" s="718">
        <f t="shared" si="24"/>
        <v>94</v>
      </c>
      <c r="H328" s="718">
        <f t="shared" si="25"/>
        <v>580</v>
      </c>
    </row>
    <row r="329" spans="1:8" ht="15" customHeight="1">
      <c r="A329" s="713" t="s">
        <v>2866</v>
      </c>
      <c r="B329" s="714" t="s">
        <v>2867</v>
      </c>
      <c r="C329" s="717"/>
      <c r="D329" s="717"/>
      <c r="E329" s="717">
        <v>0</v>
      </c>
      <c r="F329" s="717">
        <v>0</v>
      </c>
      <c r="G329" s="718">
        <f t="shared" si="24"/>
        <v>0</v>
      </c>
      <c r="H329" s="718">
        <f t="shared" si="25"/>
        <v>0</v>
      </c>
    </row>
    <row r="330" spans="1:8" ht="15" customHeight="1">
      <c r="A330" s="713" t="s">
        <v>2868</v>
      </c>
      <c r="B330" s="740" t="s">
        <v>2869</v>
      </c>
      <c r="C330" s="717"/>
      <c r="D330" s="717"/>
      <c r="E330" s="717">
        <v>25</v>
      </c>
      <c r="F330" s="717">
        <v>60</v>
      </c>
      <c r="G330" s="718">
        <f t="shared" si="24"/>
        <v>25</v>
      </c>
      <c r="H330" s="718">
        <f t="shared" si="25"/>
        <v>60</v>
      </c>
    </row>
    <row r="331" spans="1:8" s="1094" customFormat="1" ht="15" customHeight="1">
      <c r="A331" s="713" t="s">
        <v>2804</v>
      </c>
      <c r="B331" s="714" t="s">
        <v>4210</v>
      </c>
      <c r="C331" s="1095"/>
      <c r="D331" s="1095"/>
      <c r="E331" s="1095">
        <v>0</v>
      </c>
      <c r="F331" s="1095">
        <v>50</v>
      </c>
      <c r="G331" s="1096">
        <f t="shared" si="24"/>
        <v>0</v>
      </c>
      <c r="H331" s="1096">
        <f t="shared" si="25"/>
        <v>50</v>
      </c>
    </row>
    <row r="332" spans="1:8" ht="15" customHeight="1" thickBot="1">
      <c r="A332" s="785" t="s">
        <v>2</v>
      </c>
      <c r="B332" s="772"/>
      <c r="C332" s="1099"/>
      <c r="D332" s="747"/>
      <c r="E332" s="1099">
        <v>768</v>
      </c>
      <c r="F332" s="1099">
        <v>3743</v>
      </c>
      <c r="G332" s="1112">
        <f t="shared" si="24"/>
        <v>768</v>
      </c>
      <c r="H332" s="1112">
        <f t="shared" si="25"/>
        <v>3743</v>
      </c>
    </row>
    <row r="333" spans="1:8" ht="15" customHeight="1" thickBot="1">
      <c r="A333" s="734"/>
      <c r="B333" s="813" t="s">
        <v>2878</v>
      </c>
      <c r="C333" s="752"/>
      <c r="D333" s="752"/>
      <c r="E333" s="752"/>
      <c r="F333" s="752"/>
      <c r="G333" s="955"/>
      <c r="H333" s="955"/>
    </row>
    <row r="334" spans="1:8" ht="15" customHeight="1">
      <c r="A334" s="713" t="s">
        <v>2871</v>
      </c>
      <c r="B334" s="793" t="s">
        <v>2652</v>
      </c>
      <c r="C334" s="717"/>
      <c r="D334" s="717"/>
      <c r="E334" s="717">
        <v>27</v>
      </c>
      <c r="F334" s="717">
        <v>190</v>
      </c>
      <c r="G334" s="718">
        <f t="shared" ref="G334:H340" si="26">C334+E334</f>
        <v>27</v>
      </c>
      <c r="H334" s="718">
        <f t="shared" si="26"/>
        <v>190</v>
      </c>
    </row>
    <row r="335" spans="1:8" ht="15" customHeight="1">
      <c r="A335" s="713" t="s">
        <v>2111</v>
      </c>
      <c r="B335" s="728" t="s">
        <v>2112</v>
      </c>
      <c r="C335" s="717"/>
      <c r="D335" s="717"/>
      <c r="E335" s="717">
        <v>1</v>
      </c>
      <c r="F335" s="717">
        <v>20</v>
      </c>
      <c r="G335" s="718">
        <f t="shared" si="26"/>
        <v>1</v>
      </c>
      <c r="H335" s="718">
        <f t="shared" si="26"/>
        <v>20</v>
      </c>
    </row>
    <row r="336" spans="1:8" ht="15" customHeight="1">
      <c r="A336" s="713" t="s">
        <v>2872</v>
      </c>
      <c r="B336" s="714" t="s">
        <v>2114</v>
      </c>
      <c r="C336" s="717"/>
      <c r="D336" s="717"/>
      <c r="E336" s="717">
        <v>69</v>
      </c>
      <c r="F336" s="717">
        <v>293</v>
      </c>
      <c r="G336" s="718">
        <f t="shared" si="26"/>
        <v>69</v>
      </c>
      <c r="H336" s="718">
        <f t="shared" si="26"/>
        <v>293</v>
      </c>
    </row>
    <row r="337" spans="1:8" ht="15" customHeight="1">
      <c r="A337" s="713" t="s">
        <v>2129</v>
      </c>
      <c r="B337" s="714" t="s">
        <v>2873</v>
      </c>
      <c r="C337" s="717"/>
      <c r="D337" s="717"/>
      <c r="E337" s="717">
        <v>6</v>
      </c>
      <c r="F337" s="717">
        <v>100</v>
      </c>
      <c r="G337" s="718">
        <f t="shared" si="26"/>
        <v>6</v>
      </c>
      <c r="H337" s="718">
        <f t="shared" si="26"/>
        <v>100</v>
      </c>
    </row>
    <row r="338" spans="1:8" ht="15" customHeight="1">
      <c r="A338" s="713">
        <v>8184901</v>
      </c>
      <c r="B338" s="714" t="s">
        <v>2875</v>
      </c>
      <c r="C338" s="717"/>
      <c r="D338" s="717"/>
      <c r="E338" s="717">
        <v>13</v>
      </c>
      <c r="F338" s="717">
        <v>0</v>
      </c>
      <c r="G338" s="718">
        <f t="shared" si="26"/>
        <v>13</v>
      </c>
      <c r="H338" s="718">
        <f t="shared" si="26"/>
        <v>0</v>
      </c>
    </row>
    <row r="339" spans="1:8" ht="15" customHeight="1">
      <c r="A339" s="713" t="s">
        <v>2133</v>
      </c>
      <c r="B339" s="714" t="s">
        <v>2134</v>
      </c>
      <c r="C339" s="717"/>
      <c r="D339" s="717"/>
      <c r="E339" s="717">
        <v>1</v>
      </c>
      <c r="F339" s="717">
        <v>20</v>
      </c>
      <c r="G339" s="718">
        <f t="shared" si="26"/>
        <v>1</v>
      </c>
      <c r="H339" s="718">
        <f t="shared" si="26"/>
        <v>20</v>
      </c>
    </row>
    <row r="340" spans="1:8" ht="15" customHeight="1">
      <c r="A340" s="785" t="s">
        <v>3398</v>
      </c>
      <c r="B340" s="772"/>
      <c r="C340" s="747"/>
      <c r="D340" s="747"/>
      <c r="E340" s="1099">
        <v>117</v>
      </c>
      <c r="F340" s="1099">
        <v>623</v>
      </c>
      <c r="G340" s="1112">
        <f t="shared" si="26"/>
        <v>117</v>
      </c>
      <c r="H340" s="1112">
        <f t="shared" si="26"/>
        <v>623</v>
      </c>
    </row>
    <row r="341" spans="1:8" ht="15" customHeight="1">
      <c r="A341" s="785" t="s">
        <v>2</v>
      </c>
      <c r="B341" s="772"/>
      <c r="C341" s="747"/>
      <c r="D341" s="747"/>
      <c r="E341" s="747"/>
      <c r="F341" s="1099"/>
      <c r="G341" s="1112"/>
      <c r="H341" s="1112"/>
    </row>
    <row r="342" spans="1:8" ht="15" customHeight="1">
      <c r="A342" s="791"/>
      <c r="B342" s="802" t="s">
        <v>55</v>
      </c>
      <c r="C342" s="774"/>
      <c r="D342" s="814" t="s">
        <v>2947</v>
      </c>
      <c r="E342" s="774"/>
      <c r="F342" s="774"/>
      <c r="G342" s="1100"/>
      <c r="H342" s="1100"/>
    </row>
    <row r="343" spans="1:8" ht="15" customHeight="1">
      <c r="A343" s="805"/>
      <c r="B343" s="815" t="s">
        <v>2983</v>
      </c>
      <c r="C343" s="752"/>
      <c r="D343" s="752"/>
      <c r="E343" s="752"/>
      <c r="F343" s="752"/>
      <c r="G343" s="955"/>
      <c r="H343" s="955"/>
    </row>
    <row r="344" spans="1:8" ht="15" customHeight="1">
      <c r="A344" s="734"/>
      <c r="B344" s="816" t="s">
        <v>2984</v>
      </c>
      <c r="C344" s="736"/>
      <c r="D344" s="736"/>
      <c r="E344" s="736"/>
      <c r="F344" s="736"/>
      <c r="G344" s="955"/>
      <c r="H344" s="955"/>
    </row>
    <row r="345" spans="1:8" ht="15" customHeight="1">
      <c r="A345" s="713" t="s">
        <v>2949</v>
      </c>
      <c r="B345" s="817" t="s">
        <v>2950</v>
      </c>
      <c r="C345" s="717"/>
      <c r="D345" s="818"/>
      <c r="E345" s="717">
        <v>2</v>
      </c>
      <c r="F345" s="818">
        <v>5</v>
      </c>
      <c r="G345" s="718">
        <f t="shared" ref="G345:G369" si="27">C345+E345</f>
        <v>2</v>
      </c>
      <c r="H345" s="718">
        <f t="shared" ref="H345:H369" si="28">D345+F345</f>
        <v>5</v>
      </c>
    </row>
    <row r="346" spans="1:8" ht="15" customHeight="1">
      <c r="A346" s="819" t="s">
        <v>2056</v>
      </c>
      <c r="B346" s="820" t="s">
        <v>2653</v>
      </c>
      <c r="C346" s="717"/>
      <c r="D346" s="818"/>
      <c r="E346" s="717">
        <v>13</v>
      </c>
      <c r="F346" s="818">
        <v>10</v>
      </c>
      <c r="G346" s="718">
        <f t="shared" si="27"/>
        <v>13</v>
      </c>
      <c r="H346" s="718">
        <f t="shared" si="28"/>
        <v>10</v>
      </c>
    </row>
    <row r="347" spans="1:8" ht="15" customHeight="1">
      <c r="A347" s="713" t="s">
        <v>2069</v>
      </c>
      <c r="B347" s="728" t="s">
        <v>2070</v>
      </c>
      <c r="C347" s="717"/>
      <c r="D347" s="818"/>
      <c r="E347" s="717">
        <v>68</v>
      </c>
      <c r="F347" s="818">
        <v>70</v>
      </c>
      <c r="G347" s="718">
        <f t="shared" si="27"/>
        <v>68</v>
      </c>
      <c r="H347" s="718">
        <f t="shared" si="28"/>
        <v>70</v>
      </c>
    </row>
    <row r="348" spans="1:8" ht="15" customHeight="1">
      <c r="A348" s="713" t="s">
        <v>2071</v>
      </c>
      <c r="B348" s="728" t="s">
        <v>2072</v>
      </c>
      <c r="C348" s="717"/>
      <c r="D348" s="818"/>
      <c r="E348" s="717">
        <v>4</v>
      </c>
      <c r="F348" s="818">
        <v>15</v>
      </c>
      <c r="G348" s="718">
        <f t="shared" si="27"/>
        <v>4</v>
      </c>
      <c r="H348" s="718">
        <f t="shared" si="28"/>
        <v>15</v>
      </c>
    </row>
    <row r="349" spans="1:8" ht="15" customHeight="1">
      <c r="A349" s="713" t="s">
        <v>2073</v>
      </c>
      <c r="B349" s="728" t="s">
        <v>2074</v>
      </c>
      <c r="C349" s="717"/>
      <c r="D349" s="818"/>
      <c r="E349" s="717">
        <v>4</v>
      </c>
      <c r="F349" s="818">
        <v>15</v>
      </c>
      <c r="G349" s="718">
        <f t="shared" si="27"/>
        <v>4</v>
      </c>
      <c r="H349" s="718">
        <f t="shared" si="28"/>
        <v>15</v>
      </c>
    </row>
    <row r="350" spans="1:8" ht="15" customHeight="1">
      <c r="A350" s="713" t="s">
        <v>2641</v>
      </c>
      <c r="B350" s="728" t="s">
        <v>2362</v>
      </c>
      <c r="C350" s="717"/>
      <c r="D350" s="818"/>
      <c r="E350" s="717">
        <v>1</v>
      </c>
      <c r="F350" s="818">
        <v>2</v>
      </c>
      <c r="G350" s="718">
        <f t="shared" si="27"/>
        <v>1</v>
      </c>
      <c r="H350" s="718">
        <f t="shared" si="28"/>
        <v>2</v>
      </c>
    </row>
    <row r="351" spans="1:8" ht="15" customHeight="1">
      <c r="A351" s="713" t="s">
        <v>2957</v>
      </c>
      <c r="B351" s="728" t="s">
        <v>2958</v>
      </c>
      <c r="C351" s="717"/>
      <c r="D351" s="818"/>
      <c r="E351" s="717">
        <v>1473</v>
      </c>
      <c r="F351" s="818">
        <v>800</v>
      </c>
      <c r="G351" s="718">
        <f t="shared" si="27"/>
        <v>1473</v>
      </c>
      <c r="H351" s="718">
        <f t="shared" si="28"/>
        <v>800</v>
      </c>
    </row>
    <row r="352" spans="1:8" ht="15" customHeight="1">
      <c r="A352" s="821" t="s">
        <v>2086</v>
      </c>
      <c r="B352" s="728" t="s">
        <v>2087</v>
      </c>
      <c r="C352" s="717"/>
      <c r="D352" s="818"/>
      <c r="E352" s="717">
        <v>29</v>
      </c>
      <c r="F352" s="818">
        <v>50</v>
      </c>
      <c r="G352" s="718">
        <f t="shared" si="27"/>
        <v>29</v>
      </c>
      <c r="H352" s="718">
        <f t="shared" si="28"/>
        <v>50</v>
      </c>
    </row>
    <row r="353" spans="1:11" ht="15" customHeight="1">
      <c r="A353" s="737" t="s">
        <v>2088</v>
      </c>
      <c r="B353" s="728" t="s">
        <v>2961</v>
      </c>
      <c r="C353" s="717"/>
      <c r="D353" s="818"/>
      <c r="E353" s="717">
        <v>0</v>
      </c>
      <c r="F353" s="818">
        <v>17</v>
      </c>
      <c r="G353" s="718">
        <f t="shared" si="27"/>
        <v>0</v>
      </c>
      <c r="H353" s="718">
        <f t="shared" si="28"/>
        <v>17</v>
      </c>
    </row>
    <row r="354" spans="1:11" ht="15" customHeight="1">
      <c r="A354" s="737" t="s">
        <v>2090</v>
      </c>
      <c r="B354" s="728" t="s">
        <v>2091</v>
      </c>
      <c r="C354" s="717"/>
      <c r="D354" s="818"/>
      <c r="E354" s="717">
        <v>0</v>
      </c>
      <c r="F354" s="818">
        <v>10</v>
      </c>
      <c r="G354" s="718">
        <f t="shared" si="27"/>
        <v>0</v>
      </c>
      <c r="H354" s="718">
        <f t="shared" si="28"/>
        <v>10</v>
      </c>
    </row>
    <row r="355" spans="1:11" ht="15" customHeight="1">
      <c r="A355" s="737" t="s">
        <v>2092</v>
      </c>
      <c r="B355" s="728" t="s">
        <v>2093</v>
      </c>
      <c r="C355" s="717"/>
      <c r="D355" s="818"/>
      <c r="E355" s="717">
        <v>3</v>
      </c>
      <c r="F355" s="818">
        <v>20</v>
      </c>
      <c r="G355" s="718">
        <f t="shared" si="27"/>
        <v>3</v>
      </c>
      <c r="H355" s="718">
        <f t="shared" si="28"/>
        <v>20</v>
      </c>
    </row>
    <row r="356" spans="1:11" ht="15" customHeight="1">
      <c r="A356" s="737" t="s">
        <v>2094</v>
      </c>
      <c r="B356" s="728" t="s">
        <v>2375</v>
      </c>
      <c r="C356" s="717"/>
      <c r="D356" s="818"/>
      <c r="E356" s="717">
        <v>536</v>
      </c>
      <c r="F356" s="818">
        <v>300</v>
      </c>
      <c r="G356" s="718">
        <f t="shared" si="27"/>
        <v>536</v>
      </c>
      <c r="H356" s="718">
        <f t="shared" si="28"/>
        <v>300</v>
      </c>
    </row>
    <row r="357" spans="1:11" ht="15" customHeight="1">
      <c r="A357" s="737" t="s">
        <v>2098</v>
      </c>
      <c r="B357" s="728" t="s">
        <v>2099</v>
      </c>
      <c r="C357" s="717"/>
      <c r="D357" s="818"/>
      <c r="E357" s="717">
        <v>935</v>
      </c>
      <c r="F357" s="818">
        <v>450</v>
      </c>
      <c r="G357" s="718">
        <f t="shared" si="27"/>
        <v>935</v>
      </c>
      <c r="H357" s="718">
        <f t="shared" si="28"/>
        <v>450</v>
      </c>
    </row>
    <row r="358" spans="1:11" ht="15" customHeight="1">
      <c r="A358" s="737" t="s">
        <v>2964</v>
      </c>
      <c r="B358" s="728" t="s">
        <v>2965</v>
      </c>
      <c r="C358" s="717"/>
      <c r="D358" s="818"/>
      <c r="E358" s="717">
        <v>78</v>
      </c>
      <c r="F358" s="818">
        <v>100</v>
      </c>
      <c r="G358" s="718">
        <f t="shared" si="27"/>
        <v>78</v>
      </c>
      <c r="H358" s="718">
        <f t="shared" si="28"/>
        <v>100</v>
      </c>
    </row>
    <row r="359" spans="1:11" ht="15" customHeight="1">
      <c r="A359" s="737" t="s">
        <v>2100</v>
      </c>
      <c r="B359" s="728" t="s">
        <v>2101</v>
      </c>
      <c r="C359" s="717"/>
      <c r="D359" s="818"/>
      <c r="E359" s="717">
        <v>775</v>
      </c>
      <c r="F359" s="818">
        <v>700</v>
      </c>
      <c r="G359" s="718">
        <f t="shared" si="27"/>
        <v>775</v>
      </c>
      <c r="H359" s="718">
        <f t="shared" si="28"/>
        <v>700</v>
      </c>
    </row>
    <row r="360" spans="1:11" ht="15" customHeight="1">
      <c r="A360" s="737" t="s">
        <v>2102</v>
      </c>
      <c r="B360" s="728" t="s">
        <v>2103</v>
      </c>
      <c r="C360" s="717"/>
      <c r="D360" s="818"/>
      <c r="E360" s="717">
        <v>1489</v>
      </c>
      <c r="F360" s="818">
        <v>1100</v>
      </c>
      <c r="G360" s="718">
        <f t="shared" si="27"/>
        <v>1489</v>
      </c>
      <c r="H360" s="718">
        <f t="shared" si="28"/>
        <v>1100</v>
      </c>
    </row>
    <row r="361" spans="1:11" ht="15" customHeight="1">
      <c r="A361" s="737" t="s">
        <v>2104</v>
      </c>
      <c r="B361" s="728" t="s">
        <v>2105</v>
      </c>
      <c r="C361" s="717"/>
      <c r="D361" s="818"/>
      <c r="E361" s="717">
        <v>2129</v>
      </c>
      <c r="F361" s="818">
        <v>3700</v>
      </c>
      <c r="G361" s="718">
        <f t="shared" si="27"/>
        <v>2129</v>
      </c>
      <c r="H361" s="718">
        <f t="shared" si="28"/>
        <v>3700</v>
      </c>
    </row>
    <row r="362" spans="1:11" ht="15" customHeight="1">
      <c r="A362" s="737" t="s">
        <v>2966</v>
      </c>
      <c r="B362" s="728" t="s">
        <v>2967</v>
      </c>
      <c r="C362" s="717"/>
      <c r="D362" s="818"/>
      <c r="E362" s="717">
        <v>10</v>
      </c>
      <c r="F362" s="818">
        <v>30</v>
      </c>
      <c r="G362" s="718">
        <f t="shared" si="27"/>
        <v>10</v>
      </c>
      <c r="H362" s="718">
        <f t="shared" si="28"/>
        <v>30</v>
      </c>
    </row>
    <row r="363" spans="1:11" ht="15" customHeight="1">
      <c r="A363" s="737" t="s">
        <v>2804</v>
      </c>
      <c r="B363" s="731" t="s">
        <v>2968</v>
      </c>
      <c r="C363" s="717"/>
      <c r="D363" s="818"/>
      <c r="E363" s="717">
        <v>142</v>
      </c>
      <c r="F363" s="818">
        <v>120</v>
      </c>
      <c r="G363" s="718">
        <f t="shared" si="27"/>
        <v>142</v>
      </c>
      <c r="H363" s="718">
        <f t="shared" si="28"/>
        <v>120</v>
      </c>
    </row>
    <row r="364" spans="1:11" ht="15" customHeight="1">
      <c r="A364" s="790" t="s">
        <v>2969</v>
      </c>
      <c r="B364" s="731" t="s">
        <v>2970</v>
      </c>
      <c r="C364" s="717"/>
      <c r="D364" s="818"/>
      <c r="E364" s="717">
        <v>136</v>
      </c>
      <c r="F364" s="818">
        <v>200</v>
      </c>
      <c r="G364" s="718">
        <f t="shared" si="27"/>
        <v>136</v>
      </c>
      <c r="H364" s="718">
        <f t="shared" si="28"/>
        <v>200</v>
      </c>
    </row>
    <row r="365" spans="1:11" ht="15" customHeight="1">
      <c r="A365" s="737" t="s">
        <v>2378</v>
      </c>
      <c r="B365" s="740" t="s">
        <v>2379</v>
      </c>
      <c r="C365" s="717"/>
      <c r="D365" s="818"/>
      <c r="E365" s="717">
        <v>14</v>
      </c>
      <c r="F365" s="818">
        <v>20</v>
      </c>
      <c r="G365" s="718">
        <f t="shared" si="27"/>
        <v>14</v>
      </c>
      <c r="H365" s="718">
        <f t="shared" si="28"/>
        <v>20</v>
      </c>
    </row>
    <row r="366" spans="1:11" ht="15" customHeight="1">
      <c r="A366" s="737" t="s">
        <v>2380</v>
      </c>
      <c r="B366" s="740" t="s">
        <v>2971</v>
      </c>
      <c r="C366" s="717"/>
      <c r="D366" s="818"/>
      <c r="E366" s="717">
        <v>642</v>
      </c>
      <c r="F366" s="818">
        <v>1250</v>
      </c>
      <c r="G366" s="718">
        <f t="shared" si="27"/>
        <v>642</v>
      </c>
      <c r="H366" s="718">
        <f t="shared" si="28"/>
        <v>1250</v>
      </c>
    </row>
    <row r="367" spans="1:11" ht="15" customHeight="1">
      <c r="A367" s="737" t="s">
        <v>3848</v>
      </c>
      <c r="B367" s="732" t="s">
        <v>3849</v>
      </c>
      <c r="C367" s="717"/>
      <c r="D367" s="717"/>
      <c r="E367" s="717">
        <v>785</v>
      </c>
      <c r="F367" s="717">
        <v>50</v>
      </c>
      <c r="G367" s="718">
        <f t="shared" si="27"/>
        <v>785</v>
      </c>
      <c r="H367" s="718">
        <f t="shared" si="28"/>
        <v>50</v>
      </c>
      <c r="K367" s="696" t="s">
        <v>331</v>
      </c>
    </row>
    <row r="368" spans="1:11" s="1094" customFormat="1" ht="15" customHeight="1">
      <c r="A368" s="1098" t="s">
        <v>3970</v>
      </c>
      <c r="B368" s="1097" t="s">
        <v>3971</v>
      </c>
      <c r="C368" s="1095"/>
      <c r="D368" s="1095"/>
      <c r="E368" s="1095">
        <v>18</v>
      </c>
      <c r="F368" s="1095">
        <v>10</v>
      </c>
      <c r="G368" s="1096"/>
      <c r="H368" s="1096">
        <f t="shared" si="28"/>
        <v>10</v>
      </c>
    </row>
    <row r="369" spans="1:8" ht="15" customHeight="1">
      <c r="A369" s="785" t="s">
        <v>2</v>
      </c>
      <c r="B369" s="822"/>
      <c r="C369" s="747"/>
      <c r="D369" s="747">
        <f>SUM(D345:D366)</f>
        <v>0</v>
      </c>
      <c r="E369" s="747">
        <f>SUM(E345:E368)</f>
        <v>9286</v>
      </c>
      <c r="F369" s="1099">
        <f>SUM(F345:F368)</f>
        <v>9044</v>
      </c>
      <c r="G369" s="1112">
        <f t="shared" si="27"/>
        <v>9286</v>
      </c>
      <c r="H369" s="1112">
        <f t="shared" si="28"/>
        <v>9044</v>
      </c>
    </row>
    <row r="370" spans="1:8" ht="15" customHeight="1">
      <c r="A370" s="734"/>
      <c r="B370" s="744" t="s">
        <v>2985</v>
      </c>
      <c r="C370" s="736"/>
      <c r="D370" s="736"/>
      <c r="E370" s="736"/>
      <c r="F370" s="1013"/>
      <c r="G370" s="955"/>
      <c r="H370" s="955"/>
    </row>
    <row r="371" spans="1:8" ht="15" customHeight="1">
      <c r="A371" s="713" t="s">
        <v>2871</v>
      </c>
      <c r="B371" s="793" t="s">
        <v>2652</v>
      </c>
      <c r="C371" s="717"/>
      <c r="D371" s="818"/>
      <c r="E371" s="717">
        <v>1847</v>
      </c>
      <c r="F371" s="739">
        <v>2400</v>
      </c>
      <c r="G371" s="718">
        <f t="shared" ref="G371:G378" si="29">C371+E371</f>
        <v>1847</v>
      </c>
      <c r="H371" s="718">
        <f t="shared" ref="H371:H377" si="30">D371+F372</f>
        <v>2050</v>
      </c>
    </row>
    <row r="372" spans="1:8" ht="15" customHeight="1">
      <c r="A372" s="713" t="s">
        <v>2111</v>
      </c>
      <c r="B372" s="731" t="s">
        <v>2112</v>
      </c>
      <c r="C372" s="717"/>
      <c r="D372" s="818"/>
      <c r="E372" s="717">
        <v>1745</v>
      </c>
      <c r="F372" s="818">
        <v>2050</v>
      </c>
      <c r="G372" s="718">
        <f t="shared" si="29"/>
        <v>1745</v>
      </c>
      <c r="H372" s="718">
        <f t="shared" si="30"/>
        <v>15</v>
      </c>
    </row>
    <row r="373" spans="1:8" ht="15" customHeight="1">
      <c r="A373" s="713" t="s">
        <v>2975</v>
      </c>
      <c r="B373" s="714" t="s">
        <v>2976</v>
      </c>
      <c r="C373" s="717"/>
      <c r="D373" s="818"/>
      <c r="E373" s="717">
        <v>4</v>
      </c>
      <c r="F373" s="818">
        <v>15</v>
      </c>
      <c r="G373" s="718">
        <f t="shared" si="29"/>
        <v>4</v>
      </c>
      <c r="H373" s="718">
        <f t="shared" si="30"/>
        <v>900</v>
      </c>
    </row>
    <row r="374" spans="1:8" ht="15" customHeight="1">
      <c r="A374" s="713" t="s">
        <v>2113</v>
      </c>
      <c r="B374" s="728" t="s">
        <v>2114</v>
      </c>
      <c r="C374" s="717"/>
      <c r="D374" s="818"/>
      <c r="E374" s="717">
        <v>464</v>
      </c>
      <c r="F374" s="818">
        <v>900</v>
      </c>
      <c r="G374" s="718">
        <f t="shared" si="29"/>
        <v>464</v>
      </c>
      <c r="H374" s="718">
        <f t="shared" si="30"/>
        <v>13</v>
      </c>
    </row>
    <row r="375" spans="1:8" ht="15" customHeight="1">
      <c r="A375" s="713" t="s">
        <v>2979</v>
      </c>
      <c r="B375" s="728" t="s">
        <v>2980</v>
      </c>
      <c r="C375" s="717"/>
      <c r="D375" s="818"/>
      <c r="E375" s="717">
        <v>10</v>
      </c>
      <c r="F375" s="818">
        <v>13</v>
      </c>
      <c r="G375" s="718">
        <f t="shared" si="29"/>
        <v>10</v>
      </c>
      <c r="H375" s="718">
        <f t="shared" si="30"/>
        <v>210</v>
      </c>
    </row>
    <row r="376" spans="1:8" ht="15" customHeight="1">
      <c r="A376" s="713" t="s">
        <v>2129</v>
      </c>
      <c r="B376" s="731" t="s">
        <v>2130</v>
      </c>
      <c r="C376" s="717"/>
      <c r="D376" s="818"/>
      <c r="E376" s="717">
        <v>212</v>
      </c>
      <c r="F376" s="818">
        <v>210</v>
      </c>
      <c r="G376" s="718">
        <f t="shared" si="29"/>
        <v>212</v>
      </c>
      <c r="H376" s="718">
        <f t="shared" si="30"/>
        <v>75</v>
      </c>
    </row>
    <row r="377" spans="1:8" ht="15" customHeight="1">
      <c r="A377" s="713" t="s">
        <v>2981</v>
      </c>
      <c r="B377" s="714" t="s">
        <v>2982</v>
      </c>
      <c r="C377" s="717"/>
      <c r="D377" s="818"/>
      <c r="E377" s="717">
        <v>35</v>
      </c>
      <c r="F377" s="818">
        <v>75</v>
      </c>
      <c r="G377" s="718">
        <f t="shared" si="29"/>
        <v>35</v>
      </c>
      <c r="H377" s="718">
        <f t="shared" si="30"/>
        <v>5663</v>
      </c>
    </row>
    <row r="378" spans="1:8" ht="15" customHeight="1">
      <c r="A378" s="785" t="s">
        <v>2</v>
      </c>
      <c r="B378" s="742"/>
      <c r="C378" s="747">
        <v>0</v>
      </c>
      <c r="D378" s="747">
        <f>SUM(D371:D377)</f>
        <v>0</v>
      </c>
      <c r="E378" s="747">
        <f>SUM(E371:E377)</f>
        <v>4317</v>
      </c>
      <c r="F378" s="1099">
        <f>SUM(F371:F377)</f>
        <v>5663</v>
      </c>
      <c r="G378" s="723">
        <f t="shared" si="29"/>
        <v>4317</v>
      </c>
      <c r="H378" s="723">
        <f>D378+F378</f>
        <v>5663</v>
      </c>
    </row>
    <row r="381" spans="1:8" ht="14.25">
      <c r="A381" s="823" t="s">
        <v>235</v>
      </c>
      <c r="B381" s="824"/>
      <c r="C381" s="824"/>
      <c r="D381" s="824"/>
      <c r="E381" s="824"/>
      <c r="F381" s="824"/>
      <c r="G381" s="824"/>
      <c r="H381" s="824"/>
    </row>
    <row r="382" spans="1:8" ht="14.25">
      <c r="A382" s="730" t="s">
        <v>146</v>
      </c>
      <c r="B382" s="825" t="s">
        <v>147</v>
      </c>
      <c r="C382" s="825"/>
      <c r="D382" s="825"/>
      <c r="E382" s="826"/>
      <c r="F382" s="826"/>
      <c r="G382" s="718"/>
      <c r="H382" s="826"/>
    </row>
    <row r="383" spans="1:8" ht="14.25">
      <c r="A383" s="730" t="s">
        <v>148</v>
      </c>
      <c r="B383" s="825" t="s">
        <v>149</v>
      </c>
      <c r="C383" s="825"/>
      <c r="D383" s="825"/>
      <c r="E383" s="826"/>
      <c r="F383" s="826"/>
      <c r="G383" s="718"/>
      <c r="H383" s="826"/>
    </row>
    <row r="384" spans="1:8" ht="14.25">
      <c r="A384" s="730" t="s">
        <v>150</v>
      </c>
      <c r="B384" s="825" t="s">
        <v>161</v>
      </c>
      <c r="C384" s="825"/>
      <c r="D384" s="825"/>
      <c r="E384" s="826"/>
      <c r="F384" s="826"/>
      <c r="G384" s="718"/>
      <c r="H384" s="826"/>
    </row>
    <row r="385" spans="1:8" ht="14.25">
      <c r="A385" s="730" t="s">
        <v>151</v>
      </c>
      <c r="B385" s="825" t="s">
        <v>152</v>
      </c>
      <c r="C385" s="825"/>
      <c r="D385" s="825"/>
      <c r="E385" s="826"/>
      <c r="F385" s="826"/>
      <c r="G385" s="718"/>
      <c r="H385" s="826"/>
    </row>
    <row r="386" spans="1:8" ht="14.25">
      <c r="A386" s="730" t="s">
        <v>153</v>
      </c>
      <c r="B386" s="825" t="s">
        <v>154</v>
      </c>
      <c r="C386" s="825"/>
      <c r="D386" s="825"/>
      <c r="E386" s="826"/>
      <c r="F386" s="826"/>
      <c r="G386" s="718"/>
      <c r="H386" s="826"/>
    </row>
    <row r="387" spans="1:8" ht="14.25">
      <c r="A387" s="730" t="s">
        <v>155</v>
      </c>
      <c r="B387" s="825" t="s">
        <v>160</v>
      </c>
      <c r="C387" s="825"/>
      <c r="D387" s="825"/>
      <c r="E387" s="826"/>
      <c r="F387" s="826"/>
      <c r="G387" s="718"/>
      <c r="H387" s="826"/>
    </row>
    <row r="388" spans="1:8" ht="38.25">
      <c r="A388" s="730" t="s">
        <v>3292</v>
      </c>
      <c r="B388" s="825" t="s">
        <v>3293</v>
      </c>
      <c r="C388" s="825"/>
      <c r="D388" s="825"/>
      <c r="E388" s="826"/>
      <c r="F388" s="826"/>
      <c r="G388" s="718"/>
      <c r="H388" s="826"/>
    </row>
    <row r="389" spans="1:8" ht="38.25">
      <c r="A389" s="730" t="s">
        <v>156</v>
      </c>
      <c r="B389" s="825" t="s">
        <v>157</v>
      </c>
      <c r="C389" s="825"/>
      <c r="D389" s="825"/>
      <c r="E389" s="826"/>
      <c r="F389" s="826"/>
      <c r="G389" s="718"/>
      <c r="H389" s="826"/>
    </row>
    <row r="390" spans="1:8" ht="14.25">
      <c r="A390" s="730" t="s">
        <v>3294</v>
      </c>
      <c r="B390" s="825" t="s">
        <v>3295</v>
      </c>
      <c r="C390" s="825"/>
      <c r="D390" s="825"/>
      <c r="E390" s="826"/>
      <c r="F390" s="826"/>
      <c r="G390" s="718"/>
      <c r="H390" s="826"/>
    </row>
    <row r="391" spans="1:8" ht="25.5">
      <c r="A391" s="730" t="s">
        <v>3296</v>
      </c>
      <c r="B391" s="825" t="s">
        <v>3297</v>
      </c>
      <c r="C391" s="825"/>
      <c r="D391" s="825"/>
      <c r="E391" s="826"/>
      <c r="F391" s="826"/>
      <c r="G391" s="718"/>
      <c r="H391" s="826"/>
    </row>
    <row r="392" spans="1:8" ht="51">
      <c r="A392" s="730" t="s">
        <v>158</v>
      </c>
      <c r="B392" s="825" t="s">
        <v>159</v>
      </c>
      <c r="C392" s="825"/>
      <c r="D392" s="825"/>
      <c r="E392" s="826"/>
      <c r="F392" s="826"/>
      <c r="G392" s="718"/>
      <c r="H392" s="826"/>
    </row>
    <row r="393" spans="1:8" ht="63.75">
      <c r="A393" s="730" t="s">
        <v>3298</v>
      </c>
      <c r="B393" s="825" t="s">
        <v>3299</v>
      </c>
      <c r="C393" s="825"/>
      <c r="D393" s="825"/>
      <c r="E393" s="826"/>
      <c r="F393" s="826"/>
      <c r="G393" s="718"/>
      <c r="H393" s="826"/>
    </row>
    <row r="394" spans="1:8">
      <c r="A394" s="823" t="s">
        <v>236</v>
      </c>
      <c r="B394" s="827"/>
      <c r="C394" s="827"/>
      <c r="D394" s="827"/>
      <c r="E394" s="828"/>
      <c r="F394" s="828"/>
      <c r="G394" s="829"/>
      <c r="H394" s="830"/>
    </row>
    <row r="395" spans="1:8">
      <c r="A395" s="831" t="s">
        <v>232</v>
      </c>
      <c r="B395" s="832"/>
      <c r="C395" s="825"/>
      <c r="D395" s="825"/>
      <c r="E395" s="826"/>
      <c r="F395" s="826"/>
      <c r="G395" s="833"/>
      <c r="H395" s="834"/>
    </row>
    <row r="396" spans="1:8" ht="12.75" customHeight="1">
      <c r="A396" s="1882" t="s">
        <v>3399</v>
      </c>
      <c r="B396" s="1882"/>
      <c r="C396" s="1882"/>
      <c r="D396" s="1882"/>
      <c r="E396" s="1882"/>
      <c r="F396" s="1882"/>
      <c r="G396" s="1882"/>
      <c r="H396" s="1882"/>
    </row>
    <row r="397" spans="1:8" ht="12.75" customHeight="1">
      <c r="A397" s="1882" t="s">
        <v>3400</v>
      </c>
      <c r="B397" s="1882"/>
      <c r="C397" s="1882"/>
      <c r="D397" s="1882"/>
      <c r="E397" s="1882"/>
      <c r="F397" s="1882"/>
      <c r="G397" s="1882"/>
      <c r="H397" s="1882"/>
    </row>
  </sheetData>
  <sheetProtection selectLockedCells="1" selectUnlockedCells="1"/>
  <mergeCells count="7">
    <mergeCell ref="A397:H397"/>
    <mergeCell ref="A7:A8"/>
    <mergeCell ref="B7:B8"/>
    <mergeCell ref="C7:D7"/>
    <mergeCell ref="E7:F7"/>
    <mergeCell ref="G7:H7"/>
    <mergeCell ref="A396:H396"/>
  </mergeCells>
  <conditionalFormatting sqref="A136:A144">
    <cfRule type="expression" dxfId="53" priority="1" stopIfTrue="1">
      <formula>AND(COUNTIF($A$136:$A$144,#REF!)&gt;1,NOT(ISBLANK(#REF!)))</formula>
    </cfRule>
  </conditionalFormatting>
  <conditionalFormatting sqref="A212:A226">
    <cfRule type="expression" dxfId="52" priority="2" stopIfTrue="1">
      <formula>AND(COUNTIF($A$212:$A$226,#REF!)&gt;1,NOT(ISBLANK(#REF!)))</formula>
    </cfRule>
  </conditionalFormatting>
  <conditionalFormatting sqref="A227">
    <cfRule type="expression" dxfId="51" priority="3" stopIfTrue="1">
      <formula>AND(COUNTIF($A$227:$A$227,#REF!)&gt;1,NOT(ISBLANK(#REF!)))</formula>
    </cfRule>
  </conditionalFormatting>
  <conditionalFormatting sqref="A345:A368">
    <cfRule type="expression" dxfId="50" priority="4" stopIfTrue="1">
      <formula>AND(COUNTIF($A$345:$A$366,#REF!)&gt;1,NOT(ISBLANK(#REF!)))</formula>
    </cfRule>
  </conditionalFormatting>
  <conditionalFormatting sqref="A309:A331">
    <cfRule type="expression" dxfId="49" priority="5" stopIfTrue="1">
      <formula>AND(COUNTIF($A$309:$A$330,#REF!)&gt;1,NOT(ISBLANK(#REF!)))</formula>
    </cfRule>
  </conditionalFormatting>
  <conditionalFormatting sqref="A12:A19">
    <cfRule type="expression" dxfId="48" priority="6" stopIfTrue="1">
      <formula>AND(COUNTIF($A$12:$A$19,#REF!)&gt;1,NOT(ISBLANK(#REF!)))</formula>
    </cfRule>
  </conditionalFormatting>
  <conditionalFormatting sqref="A22:A35">
    <cfRule type="expression" dxfId="47" priority="7" stopIfTrue="1">
      <formula>AND(COUNTIF($A$22:$A$35,#REF!)&gt;1,NOT(ISBLANK(#REF!)))</formula>
    </cfRule>
  </conditionalFormatting>
  <conditionalFormatting sqref="A38:A53">
    <cfRule type="expression" dxfId="46" priority="8" stopIfTrue="1">
      <formula>AND(COUNTIF($A$38:$A$53,#REF!)&gt;1,NOT(ISBLANK(#REF!)))</formula>
    </cfRule>
  </conditionalFormatting>
  <conditionalFormatting sqref="A56:A62">
    <cfRule type="expression" dxfId="45" priority="9" stopIfTrue="1">
      <formula>AND(COUNTIF($A$56:$A$62,#REF!)&gt;1,NOT(ISBLANK(#REF!)))</formula>
    </cfRule>
  </conditionalFormatting>
  <conditionalFormatting sqref="A67:A85">
    <cfRule type="expression" dxfId="44" priority="10" stopIfTrue="1">
      <formula>AND(COUNTIF($A$67:$A$85,#REF!)&gt;1,NOT(ISBLANK(#REF!)))</formula>
    </cfRule>
    <cfRule type="expression" dxfId="43" priority="11" stopIfTrue="1">
      <formula>AND(COUNTIF($A$67:$A$85,#REF!)&gt;1,NOT(ISBLANK(#REF!)))</formula>
    </cfRule>
  </conditionalFormatting>
  <conditionalFormatting sqref="A88:A112">
    <cfRule type="expression" dxfId="42" priority="12" stopIfTrue="1">
      <formula>AND(COUNTIF($A$88:$A$112,#REF!)&gt;1,NOT(ISBLANK(#REF!)))</formula>
    </cfRule>
  </conditionalFormatting>
  <conditionalFormatting sqref="A115:A133">
    <cfRule type="expression" dxfId="41" priority="13" stopIfTrue="1">
      <formula>AND(COUNTIF($A$115:$A$133,#REF!)&gt;1,NOT(ISBLANK(#REF!)))</formula>
    </cfRule>
  </conditionalFormatting>
  <conditionalFormatting sqref="A149:A170">
    <cfRule type="expression" dxfId="40" priority="14" stopIfTrue="1">
      <formula>AND(COUNTIF($A$149:$A$170,#REF!)&gt;1,NOT(ISBLANK(#REF!)))</formula>
    </cfRule>
    <cfRule type="expression" dxfId="39" priority="15" stopIfTrue="1">
      <formula>AND(COUNTIF($A$149:$A$170,#REF!)&gt;1,NOT(ISBLANK(#REF!)))</formula>
    </cfRule>
  </conditionalFormatting>
  <conditionalFormatting sqref="A173:A211">
    <cfRule type="expression" dxfId="38" priority="16" stopIfTrue="1">
      <formula>AND(COUNTIF($A$173:$A$211,#REF!)&gt;1,NOT(ISBLANK(#REF!)))</formula>
    </cfRule>
  </conditionalFormatting>
  <conditionalFormatting sqref="A230:A239">
    <cfRule type="expression" dxfId="37" priority="17" stopIfTrue="1">
      <formula>AND(COUNTIF($A$230:$A$239,#REF!)&gt;1,NOT(ISBLANK(#REF!)))</formula>
    </cfRule>
  </conditionalFormatting>
  <conditionalFormatting sqref="A242:A244">
    <cfRule type="expression" dxfId="36" priority="18" stopIfTrue="1">
      <formula>AND(COUNTIF($A$242:$A$244,#REF!)&gt;1,NOT(ISBLANK(#REF!)))</formula>
    </cfRule>
  </conditionalFormatting>
  <pageMargins left="0.7" right="0.7" top="0.75" bottom="0.75" header="0.51180555555555551" footer="0.51180555555555551"/>
  <pageSetup scale="66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145" zoomScaleSheetLayoutView="145" workbookViewId="0">
      <selection activeCell="C14" sqref="C14"/>
    </sheetView>
  </sheetViews>
  <sheetFormatPr defaultColWidth="9" defaultRowHeight="12.75"/>
  <cols>
    <col min="1" max="1" width="9" customWidth="1"/>
    <col min="2" max="2" width="14.5703125" customWidth="1"/>
    <col min="3" max="9" width="9" customWidth="1"/>
    <col min="10" max="10" width="15.85546875" customWidth="1"/>
    <col min="11" max="13" width="9" customWidth="1"/>
    <col min="14" max="14" width="10.5703125" customWidth="1"/>
    <col min="257" max="257" width="9" customWidth="1"/>
    <col min="258" max="258" width="14.5703125" customWidth="1"/>
    <col min="259" max="265" width="9" customWidth="1"/>
    <col min="266" max="266" width="15.85546875" customWidth="1"/>
    <col min="267" max="269" width="9" customWidth="1"/>
    <col min="270" max="270" width="10.5703125" customWidth="1"/>
    <col min="513" max="513" width="9" customWidth="1"/>
    <col min="514" max="514" width="14.5703125" customWidth="1"/>
    <col min="515" max="521" width="9" customWidth="1"/>
    <col min="522" max="522" width="15.85546875" customWidth="1"/>
    <col min="523" max="525" width="9" customWidth="1"/>
    <col min="526" max="526" width="10.5703125" customWidth="1"/>
    <col min="769" max="769" width="9" customWidth="1"/>
    <col min="770" max="770" width="14.5703125" customWidth="1"/>
    <col min="771" max="777" width="9" customWidth="1"/>
    <col min="778" max="778" width="15.85546875" customWidth="1"/>
    <col min="779" max="781" width="9" customWidth="1"/>
    <col min="782" max="782" width="10.5703125" customWidth="1"/>
    <col min="1025" max="1025" width="9" customWidth="1"/>
    <col min="1026" max="1026" width="14.5703125" customWidth="1"/>
    <col min="1027" max="1033" width="9" customWidth="1"/>
    <col min="1034" max="1034" width="15.85546875" customWidth="1"/>
    <col min="1035" max="1037" width="9" customWidth="1"/>
    <col min="1038" max="1038" width="10.5703125" customWidth="1"/>
    <col min="1281" max="1281" width="9" customWidth="1"/>
    <col min="1282" max="1282" width="14.5703125" customWidth="1"/>
    <col min="1283" max="1289" width="9" customWidth="1"/>
    <col min="1290" max="1290" width="15.85546875" customWidth="1"/>
    <col min="1291" max="1293" width="9" customWidth="1"/>
    <col min="1294" max="1294" width="10.5703125" customWidth="1"/>
    <col min="1537" max="1537" width="9" customWidth="1"/>
    <col min="1538" max="1538" width="14.5703125" customWidth="1"/>
    <col min="1539" max="1545" width="9" customWidth="1"/>
    <col min="1546" max="1546" width="15.85546875" customWidth="1"/>
    <col min="1547" max="1549" width="9" customWidth="1"/>
    <col min="1550" max="1550" width="10.5703125" customWidth="1"/>
    <col min="1793" max="1793" width="9" customWidth="1"/>
    <col min="1794" max="1794" width="14.5703125" customWidth="1"/>
    <col min="1795" max="1801" width="9" customWidth="1"/>
    <col min="1802" max="1802" width="15.85546875" customWidth="1"/>
    <col min="1803" max="1805" width="9" customWidth="1"/>
    <col min="1806" max="1806" width="10.5703125" customWidth="1"/>
    <col min="2049" max="2049" width="9" customWidth="1"/>
    <col min="2050" max="2050" width="14.5703125" customWidth="1"/>
    <col min="2051" max="2057" width="9" customWidth="1"/>
    <col min="2058" max="2058" width="15.85546875" customWidth="1"/>
    <col min="2059" max="2061" width="9" customWidth="1"/>
    <col min="2062" max="2062" width="10.5703125" customWidth="1"/>
    <col min="2305" max="2305" width="9" customWidth="1"/>
    <col min="2306" max="2306" width="14.5703125" customWidth="1"/>
    <col min="2307" max="2313" width="9" customWidth="1"/>
    <col min="2314" max="2314" width="15.85546875" customWidth="1"/>
    <col min="2315" max="2317" width="9" customWidth="1"/>
    <col min="2318" max="2318" width="10.5703125" customWidth="1"/>
    <col min="2561" max="2561" width="9" customWidth="1"/>
    <col min="2562" max="2562" width="14.5703125" customWidth="1"/>
    <col min="2563" max="2569" width="9" customWidth="1"/>
    <col min="2570" max="2570" width="15.85546875" customWidth="1"/>
    <col min="2571" max="2573" width="9" customWidth="1"/>
    <col min="2574" max="2574" width="10.5703125" customWidth="1"/>
    <col min="2817" max="2817" width="9" customWidth="1"/>
    <col min="2818" max="2818" width="14.5703125" customWidth="1"/>
    <col min="2819" max="2825" width="9" customWidth="1"/>
    <col min="2826" max="2826" width="15.85546875" customWidth="1"/>
    <col min="2827" max="2829" width="9" customWidth="1"/>
    <col min="2830" max="2830" width="10.5703125" customWidth="1"/>
    <col min="3073" max="3073" width="9" customWidth="1"/>
    <col min="3074" max="3074" width="14.5703125" customWidth="1"/>
    <col min="3075" max="3081" width="9" customWidth="1"/>
    <col min="3082" max="3082" width="15.85546875" customWidth="1"/>
    <col min="3083" max="3085" width="9" customWidth="1"/>
    <col min="3086" max="3086" width="10.5703125" customWidth="1"/>
    <col min="3329" max="3329" width="9" customWidth="1"/>
    <col min="3330" max="3330" width="14.5703125" customWidth="1"/>
    <col min="3331" max="3337" width="9" customWidth="1"/>
    <col min="3338" max="3338" width="15.85546875" customWidth="1"/>
    <col min="3339" max="3341" width="9" customWidth="1"/>
    <col min="3342" max="3342" width="10.5703125" customWidth="1"/>
    <col min="3585" max="3585" width="9" customWidth="1"/>
    <col min="3586" max="3586" width="14.5703125" customWidth="1"/>
    <col min="3587" max="3593" width="9" customWidth="1"/>
    <col min="3594" max="3594" width="15.85546875" customWidth="1"/>
    <col min="3595" max="3597" width="9" customWidth="1"/>
    <col min="3598" max="3598" width="10.5703125" customWidth="1"/>
    <col min="3841" max="3841" width="9" customWidth="1"/>
    <col min="3842" max="3842" width="14.5703125" customWidth="1"/>
    <col min="3843" max="3849" width="9" customWidth="1"/>
    <col min="3850" max="3850" width="15.85546875" customWidth="1"/>
    <col min="3851" max="3853" width="9" customWidth="1"/>
    <col min="3854" max="3854" width="10.5703125" customWidth="1"/>
    <col min="4097" max="4097" width="9" customWidth="1"/>
    <col min="4098" max="4098" width="14.5703125" customWidth="1"/>
    <col min="4099" max="4105" width="9" customWidth="1"/>
    <col min="4106" max="4106" width="15.85546875" customWidth="1"/>
    <col min="4107" max="4109" width="9" customWidth="1"/>
    <col min="4110" max="4110" width="10.5703125" customWidth="1"/>
    <col min="4353" max="4353" width="9" customWidth="1"/>
    <col min="4354" max="4354" width="14.5703125" customWidth="1"/>
    <col min="4355" max="4361" width="9" customWidth="1"/>
    <col min="4362" max="4362" width="15.85546875" customWidth="1"/>
    <col min="4363" max="4365" width="9" customWidth="1"/>
    <col min="4366" max="4366" width="10.5703125" customWidth="1"/>
    <col min="4609" max="4609" width="9" customWidth="1"/>
    <col min="4610" max="4610" width="14.5703125" customWidth="1"/>
    <col min="4611" max="4617" width="9" customWidth="1"/>
    <col min="4618" max="4618" width="15.85546875" customWidth="1"/>
    <col min="4619" max="4621" width="9" customWidth="1"/>
    <col min="4622" max="4622" width="10.5703125" customWidth="1"/>
    <col min="4865" max="4865" width="9" customWidth="1"/>
    <col min="4866" max="4866" width="14.5703125" customWidth="1"/>
    <col min="4867" max="4873" width="9" customWidth="1"/>
    <col min="4874" max="4874" width="15.85546875" customWidth="1"/>
    <col min="4875" max="4877" width="9" customWidth="1"/>
    <col min="4878" max="4878" width="10.5703125" customWidth="1"/>
    <col min="5121" max="5121" width="9" customWidth="1"/>
    <col min="5122" max="5122" width="14.5703125" customWidth="1"/>
    <col min="5123" max="5129" width="9" customWidth="1"/>
    <col min="5130" max="5130" width="15.85546875" customWidth="1"/>
    <col min="5131" max="5133" width="9" customWidth="1"/>
    <col min="5134" max="5134" width="10.5703125" customWidth="1"/>
    <col min="5377" max="5377" width="9" customWidth="1"/>
    <col min="5378" max="5378" width="14.5703125" customWidth="1"/>
    <col min="5379" max="5385" width="9" customWidth="1"/>
    <col min="5386" max="5386" width="15.85546875" customWidth="1"/>
    <col min="5387" max="5389" width="9" customWidth="1"/>
    <col min="5390" max="5390" width="10.5703125" customWidth="1"/>
    <col min="5633" max="5633" width="9" customWidth="1"/>
    <col min="5634" max="5634" width="14.5703125" customWidth="1"/>
    <col min="5635" max="5641" width="9" customWidth="1"/>
    <col min="5642" max="5642" width="15.85546875" customWidth="1"/>
    <col min="5643" max="5645" width="9" customWidth="1"/>
    <col min="5646" max="5646" width="10.5703125" customWidth="1"/>
    <col min="5889" max="5889" width="9" customWidth="1"/>
    <col min="5890" max="5890" width="14.5703125" customWidth="1"/>
    <col min="5891" max="5897" width="9" customWidth="1"/>
    <col min="5898" max="5898" width="15.85546875" customWidth="1"/>
    <col min="5899" max="5901" width="9" customWidth="1"/>
    <col min="5902" max="5902" width="10.5703125" customWidth="1"/>
    <col min="6145" max="6145" width="9" customWidth="1"/>
    <col min="6146" max="6146" width="14.5703125" customWidth="1"/>
    <col min="6147" max="6153" width="9" customWidth="1"/>
    <col min="6154" max="6154" width="15.85546875" customWidth="1"/>
    <col min="6155" max="6157" width="9" customWidth="1"/>
    <col min="6158" max="6158" width="10.5703125" customWidth="1"/>
    <col min="6401" max="6401" width="9" customWidth="1"/>
    <col min="6402" max="6402" width="14.5703125" customWidth="1"/>
    <col min="6403" max="6409" width="9" customWidth="1"/>
    <col min="6410" max="6410" width="15.85546875" customWidth="1"/>
    <col min="6411" max="6413" width="9" customWidth="1"/>
    <col min="6414" max="6414" width="10.5703125" customWidth="1"/>
    <col min="6657" max="6657" width="9" customWidth="1"/>
    <col min="6658" max="6658" width="14.5703125" customWidth="1"/>
    <col min="6659" max="6665" width="9" customWidth="1"/>
    <col min="6666" max="6666" width="15.85546875" customWidth="1"/>
    <col min="6667" max="6669" width="9" customWidth="1"/>
    <col min="6670" max="6670" width="10.5703125" customWidth="1"/>
    <col min="6913" max="6913" width="9" customWidth="1"/>
    <col min="6914" max="6914" width="14.5703125" customWidth="1"/>
    <col min="6915" max="6921" width="9" customWidth="1"/>
    <col min="6922" max="6922" width="15.85546875" customWidth="1"/>
    <col min="6923" max="6925" width="9" customWidth="1"/>
    <col min="6926" max="6926" width="10.5703125" customWidth="1"/>
    <col min="7169" max="7169" width="9" customWidth="1"/>
    <col min="7170" max="7170" width="14.5703125" customWidth="1"/>
    <col min="7171" max="7177" width="9" customWidth="1"/>
    <col min="7178" max="7178" width="15.85546875" customWidth="1"/>
    <col min="7179" max="7181" width="9" customWidth="1"/>
    <col min="7182" max="7182" width="10.5703125" customWidth="1"/>
    <col min="7425" max="7425" width="9" customWidth="1"/>
    <col min="7426" max="7426" width="14.5703125" customWidth="1"/>
    <col min="7427" max="7433" width="9" customWidth="1"/>
    <col min="7434" max="7434" width="15.85546875" customWidth="1"/>
    <col min="7435" max="7437" width="9" customWidth="1"/>
    <col min="7438" max="7438" width="10.5703125" customWidth="1"/>
    <col min="7681" max="7681" width="9" customWidth="1"/>
    <col min="7682" max="7682" width="14.5703125" customWidth="1"/>
    <col min="7683" max="7689" width="9" customWidth="1"/>
    <col min="7690" max="7690" width="15.85546875" customWidth="1"/>
    <col min="7691" max="7693" width="9" customWidth="1"/>
    <col min="7694" max="7694" width="10.5703125" customWidth="1"/>
    <col min="7937" max="7937" width="9" customWidth="1"/>
    <col min="7938" max="7938" width="14.5703125" customWidth="1"/>
    <col min="7939" max="7945" width="9" customWidth="1"/>
    <col min="7946" max="7946" width="15.85546875" customWidth="1"/>
    <col min="7947" max="7949" width="9" customWidth="1"/>
    <col min="7950" max="7950" width="10.5703125" customWidth="1"/>
    <col min="8193" max="8193" width="9" customWidth="1"/>
    <col min="8194" max="8194" width="14.5703125" customWidth="1"/>
    <col min="8195" max="8201" width="9" customWidth="1"/>
    <col min="8202" max="8202" width="15.85546875" customWidth="1"/>
    <col min="8203" max="8205" width="9" customWidth="1"/>
    <col min="8206" max="8206" width="10.5703125" customWidth="1"/>
    <col min="8449" max="8449" width="9" customWidth="1"/>
    <col min="8450" max="8450" width="14.5703125" customWidth="1"/>
    <col min="8451" max="8457" width="9" customWidth="1"/>
    <col min="8458" max="8458" width="15.85546875" customWidth="1"/>
    <col min="8459" max="8461" width="9" customWidth="1"/>
    <col min="8462" max="8462" width="10.5703125" customWidth="1"/>
    <col min="8705" max="8705" width="9" customWidth="1"/>
    <col min="8706" max="8706" width="14.5703125" customWidth="1"/>
    <col min="8707" max="8713" width="9" customWidth="1"/>
    <col min="8714" max="8714" width="15.85546875" customWidth="1"/>
    <col min="8715" max="8717" width="9" customWidth="1"/>
    <col min="8718" max="8718" width="10.5703125" customWidth="1"/>
    <col min="8961" max="8961" width="9" customWidth="1"/>
    <col min="8962" max="8962" width="14.5703125" customWidth="1"/>
    <col min="8963" max="8969" width="9" customWidth="1"/>
    <col min="8970" max="8970" width="15.85546875" customWidth="1"/>
    <col min="8971" max="8973" width="9" customWidth="1"/>
    <col min="8974" max="8974" width="10.5703125" customWidth="1"/>
    <col min="9217" max="9217" width="9" customWidth="1"/>
    <col min="9218" max="9218" width="14.5703125" customWidth="1"/>
    <col min="9219" max="9225" width="9" customWidth="1"/>
    <col min="9226" max="9226" width="15.85546875" customWidth="1"/>
    <col min="9227" max="9229" width="9" customWidth="1"/>
    <col min="9230" max="9230" width="10.5703125" customWidth="1"/>
    <col min="9473" max="9473" width="9" customWidth="1"/>
    <col min="9474" max="9474" width="14.5703125" customWidth="1"/>
    <col min="9475" max="9481" width="9" customWidth="1"/>
    <col min="9482" max="9482" width="15.85546875" customWidth="1"/>
    <col min="9483" max="9485" width="9" customWidth="1"/>
    <col min="9486" max="9486" width="10.5703125" customWidth="1"/>
    <col min="9729" max="9729" width="9" customWidth="1"/>
    <col min="9730" max="9730" width="14.5703125" customWidth="1"/>
    <col min="9731" max="9737" width="9" customWidth="1"/>
    <col min="9738" max="9738" width="15.85546875" customWidth="1"/>
    <col min="9739" max="9741" width="9" customWidth="1"/>
    <col min="9742" max="9742" width="10.5703125" customWidth="1"/>
    <col min="9985" max="9985" width="9" customWidth="1"/>
    <col min="9986" max="9986" width="14.5703125" customWidth="1"/>
    <col min="9987" max="9993" width="9" customWidth="1"/>
    <col min="9994" max="9994" width="15.85546875" customWidth="1"/>
    <col min="9995" max="9997" width="9" customWidth="1"/>
    <col min="9998" max="9998" width="10.5703125" customWidth="1"/>
    <col min="10241" max="10241" width="9" customWidth="1"/>
    <col min="10242" max="10242" width="14.5703125" customWidth="1"/>
    <col min="10243" max="10249" width="9" customWidth="1"/>
    <col min="10250" max="10250" width="15.85546875" customWidth="1"/>
    <col min="10251" max="10253" width="9" customWidth="1"/>
    <col min="10254" max="10254" width="10.5703125" customWidth="1"/>
    <col min="10497" max="10497" width="9" customWidth="1"/>
    <col min="10498" max="10498" width="14.5703125" customWidth="1"/>
    <col min="10499" max="10505" width="9" customWidth="1"/>
    <col min="10506" max="10506" width="15.85546875" customWidth="1"/>
    <col min="10507" max="10509" width="9" customWidth="1"/>
    <col min="10510" max="10510" width="10.5703125" customWidth="1"/>
    <col min="10753" max="10753" width="9" customWidth="1"/>
    <col min="10754" max="10754" width="14.5703125" customWidth="1"/>
    <col min="10755" max="10761" width="9" customWidth="1"/>
    <col min="10762" max="10762" width="15.85546875" customWidth="1"/>
    <col min="10763" max="10765" width="9" customWidth="1"/>
    <col min="10766" max="10766" width="10.5703125" customWidth="1"/>
    <col min="11009" max="11009" width="9" customWidth="1"/>
    <col min="11010" max="11010" width="14.5703125" customWidth="1"/>
    <col min="11011" max="11017" width="9" customWidth="1"/>
    <col min="11018" max="11018" width="15.85546875" customWidth="1"/>
    <col min="11019" max="11021" width="9" customWidth="1"/>
    <col min="11022" max="11022" width="10.5703125" customWidth="1"/>
    <col min="11265" max="11265" width="9" customWidth="1"/>
    <col min="11266" max="11266" width="14.5703125" customWidth="1"/>
    <col min="11267" max="11273" width="9" customWidth="1"/>
    <col min="11274" max="11274" width="15.85546875" customWidth="1"/>
    <col min="11275" max="11277" width="9" customWidth="1"/>
    <col min="11278" max="11278" width="10.5703125" customWidth="1"/>
    <col min="11521" max="11521" width="9" customWidth="1"/>
    <col min="11522" max="11522" width="14.5703125" customWidth="1"/>
    <col min="11523" max="11529" width="9" customWidth="1"/>
    <col min="11530" max="11530" width="15.85546875" customWidth="1"/>
    <col min="11531" max="11533" width="9" customWidth="1"/>
    <col min="11534" max="11534" width="10.5703125" customWidth="1"/>
    <col min="11777" max="11777" width="9" customWidth="1"/>
    <col min="11778" max="11778" width="14.5703125" customWidth="1"/>
    <col min="11779" max="11785" width="9" customWidth="1"/>
    <col min="11786" max="11786" width="15.85546875" customWidth="1"/>
    <col min="11787" max="11789" width="9" customWidth="1"/>
    <col min="11790" max="11790" width="10.5703125" customWidth="1"/>
    <col min="12033" max="12033" width="9" customWidth="1"/>
    <col min="12034" max="12034" width="14.5703125" customWidth="1"/>
    <col min="12035" max="12041" width="9" customWidth="1"/>
    <col min="12042" max="12042" width="15.85546875" customWidth="1"/>
    <col min="12043" max="12045" width="9" customWidth="1"/>
    <col min="12046" max="12046" width="10.5703125" customWidth="1"/>
    <col min="12289" max="12289" width="9" customWidth="1"/>
    <col min="12290" max="12290" width="14.5703125" customWidth="1"/>
    <col min="12291" max="12297" width="9" customWidth="1"/>
    <col min="12298" max="12298" width="15.85546875" customWidth="1"/>
    <col min="12299" max="12301" width="9" customWidth="1"/>
    <col min="12302" max="12302" width="10.5703125" customWidth="1"/>
    <col min="12545" max="12545" width="9" customWidth="1"/>
    <col min="12546" max="12546" width="14.5703125" customWidth="1"/>
    <col min="12547" max="12553" width="9" customWidth="1"/>
    <col min="12554" max="12554" width="15.85546875" customWidth="1"/>
    <col min="12555" max="12557" width="9" customWidth="1"/>
    <col min="12558" max="12558" width="10.5703125" customWidth="1"/>
    <col min="12801" max="12801" width="9" customWidth="1"/>
    <col min="12802" max="12802" width="14.5703125" customWidth="1"/>
    <col min="12803" max="12809" width="9" customWidth="1"/>
    <col min="12810" max="12810" width="15.85546875" customWidth="1"/>
    <col min="12811" max="12813" width="9" customWidth="1"/>
    <col min="12814" max="12814" width="10.5703125" customWidth="1"/>
    <col min="13057" max="13057" width="9" customWidth="1"/>
    <col min="13058" max="13058" width="14.5703125" customWidth="1"/>
    <col min="13059" max="13065" width="9" customWidth="1"/>
    <col min="13066" max="13066" width="15.85546875" customWidth="1"/>
    <col min="13067" max="13069" width="9" customWidth="1"/>
    <col min="13070" max="13070" width="10.5703125" customWidth="1"/>
    <col min="13313" max="13313" width="9" customWidth="1"/>
    <col min="13314" max="13314" width="14.5703125" customWidth="1"/>
    <col min="13315" max="13321" width="9" customWidth="1"/>
    <col min="13322" max="13322" width="15.85546875" customWidth="1"/>
    <col min="13323" max="13325" width="9" customWidth="1"/>
    <col min="13326" max="13326" width="10.5703125" customWidth="1"/>
    <col min="13569" max="13569" width="9" customWidth="1"/>
    <col min="13570" max="13570" width="14.5703125" customWidth="1"/>
    <col min="13571" max="13577" width="9" customWidth="1"/>
    <col min="13578" max="13578" width="15.85546875" customWidth="1"/>
    <col min="13579" max="13581" width="9" customWidth="1"/>
    <col min="13582" max="13582" width="10.5703125" customWidth="1"/>
    <col min="13825" max="13825" width="9" customWidth="1"/>
    <col min="13826" max="13826" width="14.5703125" customWidth="1"/>
    <col min="13827" max="13833" width="9" customWidth="1"/>
    <col min="13834" max="13834" width="15.85546875" customWidth="1"/>
    <col min="13835" max="13837" width="9" customWidth="1"/>
    <col min="13838" max="13838" width="10.5703125" customWidth="1"/>
    <col min="14081" max="14081" width="9" customWidth="1"/>
    <col min="14082" max="14082" width="14.5703125" customWidth="1"/>
    <col min="14083" max="14089" width="9" customWidth="1"/>
    <col min="14090" max="14090" width="15.85546875" customWidth="1"/>
    <col min="14091" max="14093" width="9" customWidth="1"/>
    <col min="14094" max="14094" width="10.5703125" customWidth="1"/>
    <col min="14337" max="14337" width="9" customWidth="1"/>
    <col min="14338" max="14338" width="14.5703125" customWidth="1"/>
    <col min="14339" max="14345" width="9" customWidth="1"/>
    <col min="14346" max="14346" width="15.85546875" customWidth="1"/>
    <col min="14347" max="14349" width="9" customWidth="1"/>
    <col min="14350" max="14350" width="10.5703125" customWidth="1"/>
    <col min="14593" max="14593" width="9" customWidth="1"/>
    <col min="14594" max="14594" width="14.5703125" customWidth="1"/>
    <col min="14595" max="14601" width="9" customWidth="1"/>
    <col min="14602" max="14602" width="15.85546875" customWidth="1"/>
    <col min="14603" max="14605" width="9" customWidth="1"/>
    <col min="14606" max="14606" width="10.5703125" customWidth="1"/>
    <col min="14849" max="14849" width="9" customWidth="1"/>
    <col min="14850" max="14850" width="14.5703125" customWidth="1"/>
    <col min="14851" max="14857" width="9" customWidth="1"/>
    <col min="14858" max="14858" width="15.85546875" customWidth="1"/>
    <col min="14859" max="14861" width="9" customWidth="1"/>
    <col min="14862" max="14862" width="10.5703125" customWidth="1"/>
    <col min="15105" max="15105" width="9" customWidth="1"/>
    <col min="15106" max="15106" width="14.5703125" customWidth="1"/>
    <col min="15107" max="15113" width="9" customWidth="1"/>
    <col min="15114" max="15114" width="15.85546875" customWidth="1"/>
    <col min="15115" max="15117" width="9" customWidth="1"/>
    <col min="15118" max="15118" width="10.5703125" customWidth="1"/>
    <col min="15361" max="15361" width="9" customWidth="1"/>
    <col min="15362" max="15362" width="14.5703125" customWidth="1"/>
    <col min="15363" max="15369" width="9" customWidth="1"/>
    <col min="15370" max="15370" width="15.85546875" customWidth="1"/>
    <col min="15371" max="15373" width="9" customWidth="1"/>
    <col min="15374" max="15374" width="10.5703125" customWidth="1"/>
    <col min="15617" max="15617" width="9" customWidth="1"/>
    <col min="15618" max="15618" width="14.5703125" customWidth="1"/>
    <col min="15619" max="15625" width="9" customWidth="1"/>
    <col min="15626" max="15626" width="15.85546875" customWidth="1"/>
    <col min="15627" max="15629" width="9" customWidth="1"/>
    <col min="15630" max="15630" width="10.5703125" customWidth="1"/>
    <col min="15873" max="15873" width="9" customWidth="1"/>
    <col min="15874" max="15874" width="14.5703125" customWidth="1"/>
    <col min="15875" max="15881" width="9" customWidth="1"/>
    <col min="15882" max="15882" width="15.85546875" customWidth="1"/>
    <col min="15883" max="15885" width="9" customWidth="1"/>
    <col min="15886" max="15886" width="10.5703125" customWidth="1"/>
    <col min="16129" max="16129" width="9" customWidth="1"/>
    <col min="16130" max="16130" width="14.5703125" customWidth="1"/>
    <col min="16131" max="16137" width="9" customWidth="1"/>
    <col min="16138" max="16138" width="15.85546875" customWidth="1"/>
    <col min="16139" max="16141" width="9" customWidth="1"/>
    <col min="16142" max="16142" width="10.5703125" customWidth="1"/>
  </cols>
  <sheetData>
    <row r="1" spans="1:15" s="963" customFormat="1" ht="20.100000000000001" customHeight="1">
      <c r="A1" s="1887" t="s">
        <v>3874</v>
      </c>
      <c r="B1" s="1887"/>
      <c r="C1" s="1887"/>
      <c r="D1" s="1887"/>
      <c r="E1" s="1887"/>
      <c r="F1" s="1887"/>
      <c r="G1" s="1887"/>
      <c r="H1" s="1887"/>
      <c r="I1" s="1887"/>
      <c r="J1" s="1887"/>
      <c r="K1" s="1887"/>
      <c r="L1" s="1887"/>
      <c r="M1" s="1887"/>
      <c r="N1" s="1887"/>
      <c r="O1" s="1887"/>
    </row>
    <row r="2" spans="1:15" s="963" customFormat="1" ht="20.100000000000001" customHeight="1">
      <c r="A2" s="1888"/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</row>
    <row r="3" spans="1:15" s="964" customFormat="1" ht="15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O3" s="965"/>
    </row>
    <row r="4" spans="1:15" s="964" customFormat="1" ht="20.100000000000001" customHeight="1">
      <c r="A4" s="1889" t="s">
        <v>3875</v>
      </c>
      <c r="B4" s="1889" t="s">
        <v>3876</v>
      </c>
      <c r="C4" s="1889"/>
      <c r="D4" s="1890" t="s">
        <v>3877</v>
      </c>
      <c r="E4" s="1890"/>
      <c r="F4" s="1891" t="s">
        <v>3878</v>
      </c>
      <c r="G4" s="1891"/>
      <c r="H4" s="1891"/>
      <c r="I4" s="1891"/>
      <c r="J4" s="1891"/>
      <c r="K4" s="1891"/>
      <c r="L4" s="1891"/>
      <c r="M4" s="1891"/>
      <c r="N4" s="1891"/>
      <c r="O4" s="1891"/>
    </row>
    <row r="5" spans="1:15" s="964" customFormat="1" ht="20.100000000000001" customHeight="1">
      <c r="A5" s="1889"/>
      <c r="B5" s="1889"/>
      <c r="C5" s="1889"/>
      <c r="D5" s="1890"/>
      <c r="E5" s="1890"/>
      <c r="F5" s="1891" t="s">
        <v>2</v>
      </c>
      <c r="G5" s="1891" t="s">
        <v>3879</v>
      </c>
      <c r="H5" s="1891"/>
      <c r="I5" s="1891"/>
      <c r="J5" s="1891"/>
      <c r="K5" s="1891"/>
      <c r="L5" s="1891"/>
      <c r="M5" s="1891"/>
      <c r="N5" s="1891"/>
      <c r="O5" s="1891"/>
    </row>
    <row r="6" spans="1:15" s="964" customFormat="1" ht="20.100000000000001" customHeight="1">
      <c r="A6" s="1889"/>
      <c r="B6" s="1889"/>
      <c r="C6" s="1889"/>
      <c r="D6" s="1890"/>
      <c r="E6" s="1890"/>
      <c r="F6" s="1891"/>
      <c r="G6" s="1889" t="s">
        <v>3880</v>
      </c>
      <c r="H6" s="966" t="s">
        <v>3881</v>
      </c>
      <c r="I6" s="966" t="s">
        <v>3882</v>
      </c>
      <c r="J6" s="1891" t="s">
        <v>3883</v>
      </c>
      <c r="K6" s="1891"/>
      <c r="L6" s="966" t="s">
        <v>3884</v>
      </c>
      <c r="M6" s="966" t="s">
        <v>3885</v>
      </c>
      <c r="N6" s="966" t="s">
        <v>3886</v>
      </c>
      <c r="O6" s="1891" t="s">
        <v>84</v>
      </c>
    </row>
    <row r="7" spans="1:15" s="964" customFormat="1" ht="34.5" customHeight="1">
      <c r="A7" s="1889"/>
      <c r="B7" s="1889"/>
      <c r="C7" s="1889"/>
      <c r="D7" s="967" t="s">
        <v>2</v>
      </c>
      <c r="E7" s="968" t="s">
        <v>3887</v>
      </c>
      <c r="F7" s="1891"/>
      <c r="G7" s="1889"/>
      <c r="H7" s="969" t="s">
        <v>3888</v>
      </c>
      <c r="I7" s="969" t="s">
        <v>3888</v>
      </c>
      <c r="J7" s="967" t="s">
        <v>3889</v>
      </c>
      <c r="K7" s="967" t="s">
        <v>3890</v>
      </c>
      <c r="L7" s="969" t="s">
        <v>3891</v>
      </c>
      <c r="M7" s="969" t="s">
        <v>3888</v>
      </c>
      <c r="N7" s="969" t="s">
        <v>3888</v>
      </c>
      <c r="O7" s="1891"/>
    </row>
    <row r="8" spans="1:15" s="964" customFormat="1" ht="12.95" customHeight="1">
      <c r="A8" s="847">
        <v>0</v>
      </c>
      <c r="B8" s="1885">
        <v>1</v>
      </c>
      <c r="C8" s="1885"/>
      <c r="D8" s="847">
        <v>2</v>
      </c>
      <c r="E8" s="847">
        <v>3</v>
      </c>
      <c r="F8" s="847">
        <v>4</v>
      </c>
      <c r="G8" s="847">
        <v>5</v>
      </c>
      <c r="H8" s="847">
        <v>6</v>
      </c>
      <c r="I8" s="847">
        <v>7</v>
      </c>
      <c r="J8" s="847">
        <v>8</v>
      </c>
      <c r="K8" s="847">
        <v>9</v>
      </c>
      <c r="L8" s="847">
        <v>10</v>
      </c>
      <c r="M8" s="847">
        <v>11</v>
      </c>
      <c r="N8" s="847">
        <v>12</v>
      </c>
      <c r="O8" s="847">
        <v>13</v>
      </c>
    </row>
    <row r="9" spans="1:15" s="964" customFormat="1" ht="24.75" customHeight="1">
      <c r="A9" s="970">
        <v>1</v>
      </c>
      <c r="B9" s="1885" t="s">
        <v>3892</v>
      </c>
      <c r="C9" s="971" t="s">
        <v>4071</v>
      </c>
      <c r="D9" s="972">
        <v>5120</v>
      </c>
      <c r="E9" s="973">
        <v>5115</v>
      </c>
      <c r="F9" s="973">
        <v>161690</v>
      </c>
      <c r="G9" s="973">
        <v>161640</v>
      </c>
      <c r="H9" s="973">
        <v>39450</v>
      </c>
      <c r="I9" s="973">
        <v>1700</v>
      </c>
      <c r="J9" s="973">
        <v>48087</v>
      </c>
      <c r="K9" s="973">
        <v>38063</v>
      </c>
      <c r="L9" s="973">
        <v>9120</v>
      </c>
      <c r="M9" s="973">
        <v>21000</v>
      </c>
      <c r="N9" s="973">
        <v>4000</v>
      </c>
      <c r="O9" s="973">
        <v>220</v>
      </c>
    </row>
    <row r="10" spans="1:15" s="964" customFormat="1" ht="24.75" customHeight="1">
      <c r="A10" s="847"/>
      <c r="B10" s="1885"/>
      <c r="C10" s="971" t="s">
        <v>4081</v>
      </c>
      <c r="D10" s="972">
        <v>5271</v>
      </c>
      <c r="E10" s="973">
        <v>5271</v>
      </c>
      <c r="F10" s="973">
        <v>162087</v>
      </c>
      <c r="G10" s="973">
        <v>162087</v>
      </c>
      <c r="H10" s="973">
        <v>38505</v>
      </c>
      <c r="I10" s="973">
        <v>1613</v>
      </c>
      <c r="J10" s="973">
        <v>49061</v>
      </c>
      <c r="K10" s="973">
        <v>39038</v>
      </c>
      <c r="L10" s="973">
        <v>8917</v>
      </c>
      <c r="M10" s="973">
        <v>21053</v>
      </c>
      <c r="N10" s="973">
        <v>3665</v>
      </c>
      <c r="O10" s="973">
        <v>235</v>
      </c>
    </row>
    <row r="11" spans="1:15" s="964" customFormat="1" ht="23.25" customHeight="1">
      <c r="A11" s="970">
        <v>2</v>
      </c>
      <c r="B11" s="1885" t="s">
        <v>3893</v>
      </c>
      <c r="C11" s="971" t="s">
        <v>4071</v>
      </c>
      <c r="D11" s="972">
        <v>180</v>
      </c>
      <c r="E11" s="973">
        <v>180</v>
      </c>
      <c r="F11" s="973">
        <v>4510</v>
      </c>
      <c r="G11" s="973">
        <v>4510</v>
      </c>
      <c r="H11" s="973">
        <v>40</v>
      </c>
      <c r="I11" s="973">
        <v>0</v>
      </c>
      <c r="J11" s="973">
        <v>2877</v>
      </c>
      <c r="K11" s="973">
        <v>1453</v>
      </c>
      <c r="L11" s="973">
        <v>10</v>
      </c>
      <c r="M11" s="973">
        <v>10</v>
      </c>
      <c r="N11" s="973">
        <v>10</v>
      </c>
      <c r="O11" s="973">
        <v>110</v>
      </c>
    </row>
    <row r="12" spans="1:15" s="964" customFormat="1" ht="24.75" customHeight="1">
      <c r="A12" s="847"/>
      <c r="B12" s="1885"/>
      <c r="C12" s="971" t="s">
        <v>4081</v>
      </c>
      <c r="D12" s="974">
        <v>169</v>
      </c>
      <c r="E12" s="975">
        <v>169</v>
      </c>
      <c r="F12" s="973">
        <v>4917</v>
      </c>
      <c r="G12" s="973">
        <v>4917</v>
      </c>
      <c r="H12" s="973">
        <v>25</v>
      </c>
      <c r="I12" s="973">
        <v>8</v>
      </c>
      <c r="J12" s="973">
        <v>3210</v>
      </c>
      <c r="K12" s="973">
        <v>1510</v>
      </c>
      <c r="L12" s="973">
        <v>18</v>
      </c>
      <c r="M12" s="973">
        <v>18</v>
      </c>
      <c r="N12" s="973">
        <v>2</v>
      </c>
      <c r="O12" s="973">
        <v>126</v>
      </c>
    </row>
    <row r="13" spans="1:15" s="964" customFormat="1" ht="25.5" customHeight="1">
      <c r="A13" s="1886">
        <v>3</v>
      </c>
      <c r="B13" s="1885" t="s">
        <v>3</v>
      </c>
      <c r="C13" s="971" t="s">
        <v>4071</v>
      </c>
      <c r="D13" s="972">
        <v>5300</v>
      </c>
      <c r="E13" s="973">
        <v>5295</v>
      </c>
      <c r="F13" s="973">
        <v>166200</v>
      </c>
      <c r="G13" s="973">
        <v>166150</v>
      </c>
      <c r="H13" s="973">
        <v>39490</v>
      </c>
      <c r="I13" s="973">
        <v>1700</v>
      </c>
      <c r="J13" s="973">
        <v>50964</v>
      </c>
      <c r="K13" s="973">
        <v>39516</v>
      </c>
      <c r="L13" s="973">
        <v>9130</v>
      </c>
      <c r="M13" s="973">
        <v>21010</v>
      </c>
      <c r="N13" s="973">
        <v>4010</v>
      </c>
      <c r="O13" s="973">
        <v>330</v>
      </c>
    </row>
    <row r="14" spans="1:15" s="964" customFormat="1" ht="24.95" customHeight="1">
      <c r="A14" s="1886"/>
      <c r="B14" s="1885"/>
      <c r="C14" s="971" t="s">
        <v>4082</v>
      </c>
      <c r="D14" s="972">
        <v>5440</v>
      </c>
      <c r="E14" s="973">
        <v>5440</v>
      </c>
      <c r="F14" s="973">
        <v>167004</v>
      </c>
      <c r="G14" s="973">
        <v>167004</v>
      </c>
      <c r="H14" s="973">
        <v>38530</v>
      </c>
      <c r="I14" s="973">
        <v>1621</v>
      </c>
      <c r="J14" s="973">
        <v>52271</v>
      </c>
      <c r="K14" s="973">
        <v>40548</v>
      </c>
      <c r="L14" s="973">
        <v>8935</v>
      </c>
      <c r="M14" s="973">
        <v>21071</v>
      </c>
      <c r="N14" s="973">
        <v>3667</v>
      </c>
      <c r="O14" s="973">
        <v>361</v>
      </c>
    </row>
    <row r="15" spans="1:15" s="964" customFormat="1" ht="38.25" customHeight="1">
      <c r="A15" s="976" t="s">
        <v>3894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sheetProtection selectLockedCells="1" selectUnlockedCells="1"/>
  <mergeCells count="16">
    <mergeCell ref="A1:O1"/>
    <mergeCell ref="A2:O2"/>
    <mergeCell ref="A4:A7"/>
    <mergeCell ref="B4:C7"/>
    <mergeCell ref="D4:E6"/>
    <mergeCell ref="F4:O4"/>
    <mergeCell ref="F5:F7"/>
    <mergeCell ref="G5:O5"/>
    <mergeCell ref="G6:G7"/>
    <mergeCell ref="J6:K6"/>
    <mergeCell ref="O6:O7"/>
    <mergeCell ref="B8:C8"/>
    <mergeCell ref="B9:B10"/>
    <mergeCell ref="B11:B12"/>
    <mergeCell ref="A13:A14"/>
    <mergeCell ref="B13:B14"/>
  </mergeCells>
  <pageMargins left="0.7" right="0.7" top="0.75" bottom="0.75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5"/>
  <sheetViews>
    <sheetView view="pageBreakPreview" workbookViewId="0">
      <pane ySplit="7" topLeftCell="A92" activePane="bottomLeft" state="frozen"/>
      <selection pane="bottomLeft" activeCell="A11" sqref="A11:B118"/>
    </sheetView>
  </sheetViews>
  <sheetFormatPr defaultColWidth="9.140625" defaultRowHeight="12.75"/>
  <cols>
    <col min="1" max="1" width="12" style="1064" customWidth="1"/>
    <col min="2" max="2" width="44.5703125" style="1064" customWidth="1"/>
    <col min="3" max="3" width="9.140625" style="1064"/>
    <col min="4" max="4" width="8.140625" style="1064" customWidth="1"/>
    <col min="5" max="5" width="8.5703125" style="1064" customWidth="1"/>
    <col min="6" max="6" width="7.5703125" style="1064" customWidth="1"/>
    <col min="7" max="9" width="8.42578125" style="1064" customWidth="1"/>
    <col min="10" max="256" width="9.140625" style="1064"/>
    <col min="257" max="257" width="9.7109375" style="1064" customWidth="1"/>
    <col min="258" max="258" width="44.5703125" style="1064" customWidth="1"/>
    <col min="259" max="259" width="8.28515625" style="1064" customWidth="1"/>
    <col min="260" max="260" width="6.5703125" style="1064" customWidth="1"/>
    <col min="261" max="261" width="8.5703125" style="1064" customWidth="1"/>
    <col min="262" max="262" width="6.5703125" style="1064" customWidth="1"/>
    <col min="263" max="265" width="8.42578125" style="1064" customWidth="1"/>
    <col min="266" max="512" width="9.140625" style="1064"/>
    <col min="513" max="513" width="9.7109375" style="1064" customWidth="1"/>
    <col min="514" max="514" width="44.5703125" style="1064" customWidth="1"/>
    <col min="515" max="515" width="8.28515625" style="1064" customWidth="1"/>
    <col min="516" max="516" width="6.5703125" style="1064" customWidth="1"/>
    <col min="517" max="517" width="8.5703125" style="1064" customWidth="1"/>
    <col min="518" max="518" width="6.5703125" style="1064" customWidth="1"/>
    <col min="519" max="521" width="8.42578125" style="1064" customWidth="1"/>
    <col min="522" max="768" width="9.140625" style="1064"/>
    <col min="769" max="769" width="9.7109375" style="1064" customWidth="1"/>
    <col min="770" max="770" width="44.5703125" style="1064" customWidth="1"/>
    <col min="771" max="771" width="8.28515625" style="1064" customWidth="1"/>
    <col min="772" max="772" width="6.5703125" style="1064" customWidth="1"/>
    <col min="773" max="773" width="8.5703125" style="1064" customWidth="1"/>
    <col min="774" max="774" width="6.5703125" style="1064" customWidth="1"/>
    <col min="775" max="777" width="8.42578125" style="1064" customWidth="1"/>
    <col min="778" max="1024" width="9.140625" style="1064"/>
    <col min="1025" max="16384" width="9.140625" style="1048"/>
  </cols>
  <sheetData>
    <row r="1" spans="1:9">
      <c r="A1" s="1056"/>
      <c r="B1" s="1057" t="s">
        <v>187</v>
      </c>
      <c r="C1" s="1044" t="s">
        <v>1869</v>
      </c>
      <c r="D1" s="1043"/>
      <c r="E1" s="1043"/>
      <c r="F1" s="1043"/>
      <c r="G1" s="1042"/>
    </row>
    <row r="2" spans="1:9">
      <c r="A2" s="1056"/>
      <c r="B2" s="1057" t="s">
        <v>188</v>
      </c>
      <c r="C2" s="1044">
        <v>17862944</v>
      </c>
      <c r="D2" s="1043"/>
      <c r="E2" s="1043"/>
      <c r="F2" s="1043"/>
      <c r="G2" s="1042"/>
    </row>
    <row r="3" spans="1:9">
      <c r="A3" s="1056"/>
      <c r="B3" s="1057"/>
      <c r="C3" s="1044"/>
      <c r="D3" s="1043"/>
      <c r="E3" s="1043"/>
      <c r="F3" s="1043"/>
      <c r="G3" s="1042"/>
      <c r="I3" s="1065"/>
    </row>
    <row r="4" spans="1:9" s="1065" customFormat="1" ht="14.25">
      <c r="A4" s="1056"/>
      <c r="B4" s="1057" t="s">
        <v>1905</v>
      </c>
      <c r="C4" s="1049" t="s">
        <v>1786</v>
      </c>
      <c r="D4" s="1050"/>
      <c r="E4" s="1050"/>
      <c r="F4" s="1050"/>
      <c r="G4" s="1051"/>
      <c r="I4" s="1066"/>
    </row>
    <row r="5" spans="1:9" ht="10.5" customHeight="1">
      <c r="A5" s="1060"/>
      <c r="B5" s="1067"/>
      <c r="E5" s="1067"/>
      <c r="F5" s="1055"/>
      <c r="G5" s="1055"/>
      <c r="H5" s="1055"/>
      <c r="I5" s="1055"/>
    </row>
    <row r="6" spans="1:9" ht="38.25" customHeight="1" thickBot="1">
      <c r="A6" s="1893" t="s">
        <v>54</v>
      </c>
      <c r="B6" s="1893" t="s">
        <v>237</v>
      </c>
      <c r="C6" s="1894" t="s">
        <v>1787</v>
      </c>
      <c r="D6" s="1894"/>
      <c r="E6" s="1894" t="s">
        <v>1788</v>
      </c>
      <c r="F6" s="1894"/>
      <c r="G6" s="1894" t="s">
        <v>1789</v>
      </c>
      <c r="H6" s="1894"/>
    </row>
    <row r="7" spans="1:9" ht="48" customHeight="1" thickTop="1" thickBot="1">
      <c r="A7" s="1893"/>
      <c r="B7" s="1893"/>
      <c r="C7" s="1041" t="s">
        <v>4078</v>
      </c>
      <c r="D7" s="1068" t="s">
        <v>4071</v>
      </c>
      <c r="E7" s="1041" t="s">
        <v>4078</v>
      </c>
      <c r="F7" s="1068" t="s">
        <v>4071</v>
      </c>
      <c r="G7" s="1041" t="s">
        <v>4078</v>
      </c>
      <c r="H7" s="1068" t="s">
        <v>4071</v>
      </c>
    </row>
    <row r="8" spans="1:9" s="1069" customFormat="1" ht="14.1" customHeight="1" thickTop="1">
      <c r="A8" s="1040" t="s">
        <v>3300</v>
      </c>
      <c r="B8" s="1039"/>
      <c r="C8" s="1038"/>
      <c r="D8" s="1038"/>
      <c r="E8" s="1038"/>
      <c r="F8" s="1038"/>
      <c r="G8" s="1038"/>
      <c r="H8" s="1038"/>
    </row>
    <row r="9" spans="1:9" s="1069" customFormat="1" ht="14.1" customHeight="1">
      <c r="A9" s="1079" t="s">
        <v>238</v>
      </c>
      <c r="B9" s="1080"/>
      <c r="C9" s="1063">
        <v>15380</v>
      </c>
      <c r="D9" s="1063"/>
      <c r="E9" s="1063">
        <v>1420</v>
      </c>
      <c r="F9" s="1063"/>
      <c r="G9" s="1037">
        <f>C9+E9</f>
        <v>16800</v>
      </c>
      <c r="H9" s="1037">
        <f>D9+F9</f>
        <v>0</v>
      </c>
    </row>
    <row r="10" spans="1:9" s="1069" customFormat="1" ht="14.1" customHeight="1">
      <c r="A10" s="1083" t="s">
        <v>239</v>
      </c>
      <c r="B10" s="1084"/>
      <c r="C10" s="1045">
        <f>SUM(C11:C118)</f>
        <v>16093</v>
      </c>
      <c r="D10" s="1045">
        <f>SUM(D11:D118)</f>
        <v>16199</v>
      </c>
      <c r="E10" s="1045">
        <f>SUM(E11:E118)</f>
        <v>1572</v>
      </c>
      <c r="F10" s="1045">
        <f>SUM(F11:F118)</f>
        <v>1706</v>
      </c>
      <c r="G10" s="1037">
        <f>C10+E10</f>
        <v>17665</v>
      </c>
      <c r="H10" s="1037">
        <f>D10+F10</f>
        <v>17905</v>
      </c>
    </row>
    <row r="11" spans="1:9" s="1069" customFormat="1" ht="25.5" customHeight="1">
      <c r="A11" s="1617">
        <v>57506001</v>
      </c>
      <c r="B11" s="1618" t="s">
        <v>3827</v>
      </c>
      <c r="C11" s="1619">
        <v>2</v>
      </c>
      <c r="D11" s="1620">
        <v>5</v>
      </c>
      <c r="E11" s="1619"/>
      <c r="F11" s="1619"/>
      <c r="G11" s="1620">
        <v>2</v>
      </c>
      <c r="H11" s="1620">
        <v>5</v>
      </c>
    </row>
    <row r="12" spans="1:9" s="1069" customFormat="1" ht="21" customHeight="1">
      <c r="A12" s="1617">
        <v>57506011</v>
      </c>
      <c r="B12" s="1617" t="s">
        <v>3828</v>
      </c>
      <c r="C12" s="1619">
        <v>5</v>
      </c>
      <c r="D12" s="1620">
        <v>6</v>
      </c>
      <c r="E12" s="1619"/>
      <c r="F12" s="1619"/>
      <c r="G12" s="1620">
        <v>5</v>
      </c>
      <c r="H12" s="1620">
        <v>6</v>
      </c>
    </row>
    <row r="13" spans="1:9" ht="23.25" customHeight="1">
      <c r="A13" s="1617">
        <v>57506021</v>
      </c>
      <c r="B13" s="1617" t="s">
        <v>3829</v>
      </c>
      <c r="C13" s="1619">
        <v>2</v>
      </c>
      <c r="D13" s="1620">
        <v>3</v>
      </c>
      <c r="E13" s="1619"/>
      <c r="F13" s="1619"/>
      <c r="G13" s="1620">
        <v>2</v>
      </c>
      <c r="H13" s="1620">
        <v>3</v>
      </c>
    </row>
    <row r="14" spans="1:9" s="1069" customFormat="1" ht="24.75" customHeight="1">
      <c r="A14" s="1617">
        <v>57506031</v>
      </c>
      <c r="B14" s="1617" t="s">
        <v>3830</v>
      </c>
      <c r="C14" s="1619">
        <v>4</v>
      </c>
      <c r="D14" s="1620">
        <v>5</v>
      </c>
      <c r="E14" s="1619"/>
      <c r="F14" s="1619"/>
      <c r="G14" s="1620">
        <v>4</v>
      </c>
      <c r="H14" s="1620">
        <v>5</v>
      </c>
    </row>
    <row r="15" spans="1:9" s="1069" customFormat="1" ht="22.5" customHeight="1">
      <c r="A15" s="1617">
        <v>57506041</v>
      </c>
      <c r="B15" s="1617" t="s">
        <v>3831</v>
      </c>
      <c r="C15" s="1619">
        <v>21</v>
      </c>
      <c r="D15" s="1620">
        <v>23</v>
      </c>
      <c r="E15" s="1619"/>
      <c r="F15" s="1619"/>
      <c r="G15" s="1620">
        <v>21</v>
      </c>
      <c r="H15" s="1620">
        <v>23</v>
      </c>
    </row>
    <row r="16" spans="1:9" s="1069" customFormat="1" ht="24.95" customHeight="1">
      <c r="A16" s="1617">
        <v>57518001</v>
      </c>
      <c r="B16" s="1617" t="s">
        <v>3836</v>
      </c>
      <c r="C16" s="1619">
        <v>0</v>
      </c>
      <c r="D16" s="1620">
        <v>0</v>
      </c>
      <c r="E16" s="1619"/>
      <c r="F16" s="1619"/>
      <c r="G16" s="1620">
        <v>0</v>
      </c>
      <c r="H16" s="1620">
        <v>0</v>
      </c>
    </row>
    <row r="17" spans="1:8" s="1069" customFormat="1" ht="24.95" customHeight="1">
      <c r="A17" s="1617">
        <v>57518011</v>
      </c>
      <c r="B17" s="1617" t="s">
        <v>3837</v>
      </c>
      <c r="C17" s="1619">
        <v>25</v>
      </c>
      <c r="D17" s="1620">
        <v>27</v>
      </c>
      <c r="E17" s="1619"/>
      <c r="F17" s="1619"/>
      <c r="G17" s="1620">
        <v>25</v>
      </c>
      <c r="H17" s="1620">
        <v>27</v>
      </c>
    </row>
    <row r="18" spans="1:8" s="1069" customFormat="1" ht="24.95" customHeight="1">
      <c r="A18" s="1617">
        <v>57518031</v>
      </c>
      <c r="B18" s="1617" t="s">
        <v>3838</v>
      </c>
      <c r="C18" s="1619">
        <v>2</v>
      </c>
      <c r="D18" s="1620">
        <v>4</v>
      </c>
      <c r="E18" s="1619"/>
      <c r="F18" s="1619"/>
      <c r="G18" s="1620">
        <v>2</v>
      </c>
      <c r="H18" s="1620">
        <v>4</v>
      </c>
    </row>
    <row r="19" spans="1:8" s="1069" customFormat="1" ht="24.95" customHeight="1">
      <c r="A19" s="1617">
        <v>57518041</v>
      </c>
      <c r="B19" s="1617" t="s">
        <v>3839</v>
      </c>
      <c r="C19" s="1619">
        <v>10</v>
      </c>
      <c r="D19" s="1620">
        <v>11</v>
      </c>
      <c r="E19" s="1619"/>
      <c r="F19" s="1619"/>
      <c r="G19" s="1620">
        <v>10</v>
      </c>
      <c r="H19" s="1620">
        <v>11</v>
      </c>
    </row>
    <row r="20" spans="1:8" s="1069" customFormat="1" ht="24.95" customHeight="1">
      <c r="A20" s="1621">
        <v>57700001</v>
      </c>
      <c r="B20" s="1617" t="s">
        <v>3826</v>
      </c>
      <c r="C20" s="1619">
        <v>16</v>
      </c>
      <c r="D20" s="1620">
        <v>18</v>
      </c>
      <c r="E20" s="1619"/>
      <c r="F20" s="1619"/>
      <c r="G20" s="1620">
        <v>16</v>
      </c>
      <c r="H20" s="1620">
        <v>18</v>
      </c>
    </row>
    <row r="21" spans="1:8" s="1069" customFormat="1" ht="24.95" customHeight="1">
      <c r="A21" s="1617">
        <v>57706001</v>
      </c>
      <c r="B21" s="1617" t="s">
        <v>3825</v>
      </c>
      <c r="C21" s="1619">
        <v>1</v>
      </c>
      <c r="D21" s="1620">
        <v>1</v>
      </c>
      <c r="E21" s="1619"/>
      <c r="F21" s="1619"/>
      <c r="G21" s="1620">
        <v>1</v>
      </c>
      <c r="H21" s="1620">
        <v>1</v>
      </c>
    </row>
    <row r="22" spans="1:8" s="1069" customFormat="1" ht="24.95" customHeight="1">
      <c r="A22" s="1617">
        <v>57712001</v>
      </c>
      <c r="B22" s="1618" t="s">
        <v>3834</v>
      </c>
      <c r="C22" s="1619">
        <v>7</v>
      </c>
      <c r="D22" s="1620">
        <v>8</v>
      </c>
      <c r="E22" s="1619"/>
      <c r="F22" s="1619"/>
      <c r="G22" s="1620">
        <v>7</v>
      </c>
      <c r="H22" s="1620">
        <v>8</v>
      </c>
    </row>
    <row r="23" spans="1:8" s="1069" customFormat="1" ht="24.95" customHeight="1">
      <c r="A23" s="1617">
        <v>57715001</v>
      </c>
      <c r="B23" s="1618" t="s">
        <v>3835</v>
      </c>
      <c r="C23" s="1619">
        <v>17</v>
      </c>
      <c r="D23" s="1620">
        <v>19</v>
      </c>
      <c r="E23" s="1619"/>
      <c r="F23" s="1619"/>
      <c r="G23" s="1620">
        <v>17</v>
      </c>
      <c r="H23" s="1620">
        <v>19</v>
      </c>
    </row>
    <row r="24" spans="1:8" s="1069" customFormat="1" ht="21.75" customHeight="1">
      <c r="A24" s="1617">
        <v>57901001</v>
      </c>
      <c r="B24" s="1617" t="s">
        <v>3843</v>
      </c>
      <c r="C24" s="1619">
        <v>16</v>
      </c>
      <c r="D24" s="1619">
        <v>18</v>
      </c>
      <c r="E24" s="1619"/>
      <c r="F24" s="1619"/>
      <c r="G24" s="1620">
        <v>16</v>
      </c>
      <c r="H24" s="1620">
        <v>18</v>
      </c>
    </row>
    <row r="25" spans="1:8" s="1069" customFormat="1" ht="21.75" customHeight="1">
      <c r="A25" s="1617">
        <v>57903001</v>
      </c>
      <c r="B25" s="1617" t="s">
        <v>3840</v>
      </c>
      <c r="C25" s="1619">
        <v>132</v>
      </c>
      <c r="D25" s="1619">
        <v>135</v>
      </c>
      <c r="E25" s="1619"/>
      <c r="F25" s="1619"/>
      <c r="G25" s="1620">
        <v>132</v>
      </c>
      <c r="H25" s="1620">
        <v>135</v>
      </c>
    </row>
    <row r="26" spans="1:8" s="1069" customFormat="1" ht="24.95" customHeight="1">
      <c r="A26" s="1617">
        <v>57906001</v>
      </c>
      <c r="B26" s="1617" t="s">
        <v>3870</v>
      </c>
      <c r="C26" s="1619">
        <v>1</v>
      </c>
      <c r="D26" s="1619">
        <v>1</v>
      </c>
      <c r="E26" s="1619"/>
      <c r="F26" s="1619"/>
      <c r="G26" s="1620">
        <v>1</v>
      </c>
      <c r="H26" s="1620">
        <v>1</v>
      </c>
    </row>
    <row r="27" spans="1:8" s="1069" customFormat="1" ht="33.75" customHeight="1">
      <c r="A27" s="1617">
        <v>57912001</v>
      </c>
      <c r="B27" s="1617" t="s">
        <v>3873</v>
      </c>
      <c r="C27" s="1619">
        <v>2</v>
      </c>
      <c r="D27" s="1619">
        <v>5</v>
      </c>
      <c r="E27" s="1619"/>
      <c r="F27" s="1619"/>
      <c r="G27" s="1620">
        <v>2</v>
      </c>
      <c r="H27" s="1620">
        <v>5</v>
      </c>
    </row>
    <row r="28" spans="1:8" s="1069" customFormat="1" ht="24.95" customHeight="1">
      <c r="A28" s="1617">
        <v>57921001</v>
      </c>
      <c r="B28" s="1617" t="s">
        <v>3872</v>
      </c>
      <c r="C28" s="1619">
        <v>5</v>
      </c>
      <c r="D28" s="1619">
        <v>7</v>
      </c>
      <c r="E28" s="1619"/>
      <c r="F28" s="1619"/>
      <c r="G28" s="1620">
        <v>5</v>
      </c>
      <c r="H28" s="1620">
        <v>7</v>
      </c>
    </row>
    <row r="29" spans="1:8" s="1069" customFormat="1" ht="34.5" customHeight="1">
      <c r="A29" s="1617">
        <v>57927001</v>
      </c>
      <c r="B29" s="1617" t="s">
        <v>3871</v>
      </c>
      <c r="C29" s="1619">
        <v>0</v>
      </c>
      <c r="D29" s="1619">
        <v>0</v>
      </c>
      <c r="E29" s="1619"/>
      <c r="F29" s="1619"/>
      <c r="G29" s="1620">
        <v>0</v>
      </c>
      <c r="H29" s="1620">
        <v>0</v>
      </c>
    </row>
    <row r="30" spans="1:8" s="1069" customFormat="1" ht="31.5" customHeight="1">
      <c r="A30" s="1617">
        <v>58100001</v>
      </c>
      <c r="B30" s="1617" t="s">
        <v>3822</v>
      </c>
      <c r="C30" s="1619">
        <v>198</v>
      </c>
      <c r="D30" s="1619">
        <v>200</v>
      </c>
      <c r="E30" s="1619"/>
      <c r="F30" s="1619"/>
      <c r="G30" s="1620">
        <v>198</v>
      </c>
      <c r="H30" s="1620">
        <v>200</v>
      </c>
    </row>
    <row r="31" spans="1:8" s="1069" customFormat="1" ht="29.25" customHeight="1">
      <c r="A31" s="1617">
        <v>58103001</v>
      </c>
      <c r="B31" s="1617" t="s">
        <v>3823</v>
      </c>
      <c r="C31" s="1619">
        <v>16</v>
      </c>
      <c r="D31" s="1619">
        <v>17</v>
      </c>
      <c r="E31" s="1619"/>
      <c r="F31" s="1619"/>
      <c r="G31" s="1620">
        <v>16</v>
      </c>
      <c r="H31" s="1620">
        <v>17</v>
      </c>
    </row>
    <row r="32" spans="1:8" s="1069" customFormat="1" ht="29.25" customHeight="1">
      <c r="A32" s="1617">
        <v>58106001</v>
      </c>
      <c r="B32" s="1617" t="s">
        <v>3824</v>
      </c>
      <c r="C32" s="1619">
        <v>159</v>
      </c>
      <c r="D32" s="1619">
        <v>160</v>
      </c>
      <c r="E32" s="1619"/>
      <c r="F32" s="1619"/>
      <c r="G32" s="1620">
        <v>159</v>
      </c>
      <c r="H32" s="1620">
        <v>160</v>
      </c>
    </row>
    <row r="33" spans="1:8" s="1069" customFormat="1" ht="25.5" customHeight="1">
      <c r="A33" s="1617">
        <v>58500001</v>
      </c>
      <c r="B33" s="1617" t="s">
        <v>3910</v>
      </c>
      <c r="C33" s="1619">
        <v>903</v>
      </c>
      <c r="D33" s="1619">
        <v>910</v>
      </c>
      <c r="E33" s="1619"/>
      <c r="F33" s="1619"/>
      <c r="G33" s="1620">
        <v>903</v>
      </c>
      <c r="H33" s="1620">
        <v>910</v>
      </c>
    </row>
    <row r="34" spans="1:8" s="1069" customFormat="1" ht="24.95" customHeight="1">
      <c r="A34" s="1617">
        <v>58521001</v>
      </c>
      <c r="B34" s="1617" t="s">
        <v>3832</v>
      </c>
      <c r="C34" s="1619">
        <v>8</v>
      </c>
      <c r="D34" s="1619">
        <v>10</v>
      </c>
      <c r="E34" s="1619"/>
      <c r="F34" s="1619"/>
      <c r="G34" s="1620">
        <v>8</v>
      </c>
      <c r="H34" s="1620">
        <v>10</v>
      </c>
    </row>
    <row r="35" spans="1:8" s="1069" customFormat="1" ht="24.95" customHeight="1">
      <c r="A35" s="1622">
        <v>58700001</v>
      </c>
      <c r="B35" s="1617" t="s">
        <v>3868</v>
      </c>
      <c r="C35" s="1623">
        <v>2</v>
      </c>
      <c r="D35" s="1623">
        <v>4</v>
      </c>
      <c r="E35" s="1623"/>
      <c r="F35" s="1619"/>
      <c r="G35" s="1620">
        <v>2</v>
      </c>
      <c r="H35" s="1620">
        <v>4</v>
      </c>
    </row>
    <row r="36" spans="1:8" s="1069" customFormat="1" ht="24.95" customHeight="1">
      <c r="A36" s="1622">
        <v>58900001</v>
      </c>
      <c r="B36" s="1622" t="s">
        <v>3833</v>
      </c>
      <c r="C36" s="1623">
        <v>6</v>
      </c>
      <c r="D36" s="1623">
        <v>8</v>
      </c>
      <c r="E36" s="1623"/>
      <c r="F36" s="1619"/>
      <c r="G36" s="1620">
        <v>6</v>
      </c>
      <c r="H36" s="1620">
        <v>8</v>
      </c>
    </row>
    <row r="37" spans="1:8" s="1069" customFormat="1" ht="24.95" customHeight="1">
      <c r="A37" s="1624">
        <v>59300001</v>
      </c>
      <c r="B37" s="1617" t="s">
        <v>3867</v>
      </c>
      <c r="C37" s="1623">
        <v>41</v>
      </c>
      <c r="D37" s="1623">
        <v>43</v>
      </c>
      <c r="E37" s="1623"/>
      <c r="F37" s="1619"/>
      <c r="G37" s="1620">
        <v>41</v>
      </c>
      <c r="H37" s="1620">
        <v>43</v>
      </c>
    </row>
    <row r="38" spans="1:8" s="1069" customFormat="1" ht="20.25" customHeight="1">
      <c r="A38" s="1625">
        <v>59303001</v>
      </c>
      <c r="B38" s="1625" t="s">
        <v>3866</v>
      </c>
      <c r="C38" s="1619">
        <v>3</v>
      </c>
      <c r="D38" s="1619">
        <v>5</v>
      </c>
      <c r="E38" s="1619"/>
      <c r="F38" s="1619"/>
      <c r="G38" s="1620">
        <v>3</v>
      </c>
      <c r="H38" s="1620">
        <v>5</v>
      </c>
    </row>
    <row r="39" spans="1:8" s="1069" customFormat="1" ht="19.5" customHeight="1">
      <c r="A39" s="1624">
        <v>59712001</v>
      </c>
      <c r="B39" s="1624" t="s">
        <v>3869</v>
      </c>
      <c r="C39" s="1619">
        <v>0</v>
      </c>
      <c r="D39" s="1619">
        <v>0</v>
      </c>
      <c r="E39" s="1619"/>
      <c r="F39" s="1619"/>
      <c r="G39" s="1620">
        <v>0</v>
      </c>
      <c r="H39" s="1620">
        <v>0</v>
      </c>
    </row>
    <row r="40" spans="1:8" s="1069" customFormat="1" ht="24.95" customHeight="1">
      <c r="A40" s="1617" t="s">
        <v>3911</v>
      </c>
      <c r="B40" s="1617" t="s">
        <v>3312</v>
      </c>
      <c r="C40" s="1619">
        <v>60</v>
      </c>
      <c r="D40" s="1619">
        <v>62</v>
      </c>
      <c r="E40" s="1619"/>
      <c r="F40" s="1619"/>
      <c r="G40" s="1620">
        <v>60</v>
      </c>
      <c r="H40" s="1620">
        <v>62</v>
      </c>
    </row>
    <row r="41" spans="1:8" s="1069" customFormat="1" ht="24.95" customHeight="1">
      <c r="A41" s="1617" t="s">
        <v>3311</v>
      </c>
      <c r="B41" s="1617" t="s">
        <v>3312</v>
      </c>
      <c r="C41" s="1619"/>
      <c r="D41" s="1619"/>
      <c r="E41" s="1619">
        <v>4</v>
      </c>
      <c r="F41" s="1619">
        <v>6</v>
      </c>
      <c r="G41" s="1620">
        <v>4</v>
      </c>
      <c r="H41" s="1620">
        <v>6</v>
      </c>
    </row>
    <row r="42" spans="1:8" s="1069" customFormat="1" ht="24.95" customHeight="1">
      <c r="A42" s="1617" t="s">
        <v>3912</v>
      </c>
      <c r="B42" s="1617" t="s">
        <v>3314</v>
      </c>
      <c r="C42" s="1619">
        <v>184</v>
      </c>
      <c r="D42" s="1619">
        <v>186</v>
      </c>
      <c r="E42" s="1619"/>
      <c r="F42" s="1619"/>
      <c r="G42" s="1620">
        <v>184</v>
      </c>
      <c r="H42" s="1620">
        <v>186</v>
      </c>
    </row>
    <row r="43" spans="1:8" s="1069" customFormat="1" ht="24.95" customHeight="1">
      <c r="A43" s="1617" t="s">
        <v>3313</v>
      </c>
      <c r="B43" s="1617" t="s">
        <v>3314</v>
      </c>
      <c r="C43" s="1619"/>
      <c r="D43" s="1619"/>
      <c r="E43" s="1619">
        <v>16</v>
      </c>
      <c r="F43" s="1619">
        <v>18</v>
      </c>
      <c r="G43" s="1620">
        <v>16</v>
      </c>
      <c r="H43" s="1620">
        <v>18</v>
      </c>
    </row>
    <row r="44" spans="1:8" ht="24.95" customHeight="1">
      <c r="A44" s="1617" t="s">
        <v>3913</v>
      </c>
      <c r="B44" s="1617" t="s">
        <v>3316</v>
      </c>
      <c r="C44" s="1623">
        <v>119</v>
      </c>
      <c r="D44" s="1623">
        <v>120</v>
      </c>
      <c r="E44" s="1623"/>
      <c r="F44" s="1623"/>
      <c r="G44" s="1620">
        <v>119</v>
      </c>
      <c r="H44" s="1620">
        <v>120</v>
      </c>
    </row>
    <row r="45" spans="1:8" ht="24.95" customHeight="1">
      <c r="A45" s="1617" t="s">
        <v>3315</v>
      </c>
      <c r="B45" s="1617" t="s">
        <v>3316</v>
      </c>
      <c r="C45" s="1623"/>
      <c r="D45" s="1623"/>
      <c r="E45" s="1623">
        <v>3</v>
      </c>
      <c r="F45" s="1623">
        <v>5</v>
      </c>
      <c r="G45" s="1620">
        <v>3</v>
      </c>
      <c r="H45" s="1620">
        <v>5</v>
      </c>
    </row>
    <row r="46" spans="1:8" s="1069" customFormat="1" ht="24.95" customHeight="1">
      <c r="A46" s="1617" t="s">
        <v>3914</v>
      </c>
      <c r="B46" s="1618" t="s">
        <v>3318</v>
      </c>
      <c r="C46" s="1620">
        <v>567</v>
      </c>
      <c r="D46" s="1620">
        <v>570</v>
      </c>
      <c r="E46" s="1620"/>
      <c r="F46" s="1620"/>
      <c r="G46" s="1620">
        <v>567</v>
      </c>
      <c r="H46" s="1620">
        <v>570</v>
      </c>
    </row>
    <row r="47" spans="1:8" s="1069" customFormat="1" ht="24.95" customHeight="1">
      <c r="A47" s="1617" t="s">
        <v>3317</v>
      </c>
      <c r="B47" s="1618" t="s">
        <v>3318</v>
      </c>
      <c r="C47" s="1620"/>
      <c r="D47" s="1620"/>
      <c r="E47" s="1620">
        <v>12</v>
      </c>
      <c r="F47" s="1620">
        <v>15</v>
      </c>
      <c r="G47" s="1620">
        <v>12</v>
      </c>
      <c r="H47" s="1620">
        <v>15</v>
      </c>
    </row>
    <row r="48" spans="1:8" s="1069" customFormat="1" ht="24.95" customHeight="1">
      <c r="A48" s="1617" t="s">
        <v>3915</v>
      </c>
      <c r="B48" s="1618" t="s">
        <v>3320</v>
      </c>
      <c r="C48" s="1620">
        <v>634</v>
      </c>
      <c r="D48" s="1620">
        <v>640</v>
      </c>
      <c r="E48" s="1620"/>
      <c r="F48" s="1620"/>
      <c r="G48" s="1620">
        <v>634</v>
      </c>
      <c r="H48" s="1620">
        <v>640</v>
      </c>
    </row>
    <row r="49" spans="1:8" s="1069" customFormat="1" ht="24.95" customHeight="1">
      <c r="A49" s="1617" t="s">
        <v>3319</v>
      </c>
      <c r="B49" s="1618" t="s">
        <v>3320</v>
      </c>
      <c r="C49" s="1620"/>
      <c r="D49" s="1620"/>
      <c r="E49" s="1620">
        <v>7</v>
      </c>
      <c r="F49" s="1620">
        <v>8</v>
      </c>
      <c r="G49" s="1620">
        <v>7</v>
      </c>
      <c r="H49" s="1620">
        <v>8</v>
      </c>
    </row>
    <row r="50" spans="1:8" s="1069" customFormat="1" ht="24.95" customHeight="1">
      <c r="A50" s="1617" t="s">
        <v>3916</v>
      </c>
      <c r="B50" s="1618" t="s">
        <v>3353</v>
      </c>
      <c r="C50" s="1620">
        <v>87</v>
      </c>
      <c r="D50" s="1620">
        <v>90</v>
      </c>
      <c r="E50" s="1620"/>
      <c r="F50" s="1620"/>
      <c r="G50" s="1620">
        <v>87</v>
      </c>
      <c r="H50" s="1620">
        <v>90</v>
      </c>
    </row>
    <row r="51" spans="1:8" s="1069" customFormat="1" ht="24.95" customHeight="1">
      <c r="A51" s="1617" t="s">
        <v>3352</v>
      </c>
      <c r="B51" s="1618" t="s">
        <v>3353</v>
      </c>
      <c r="C51" s="1620"/>
      <c r="D51" s="1620"/>
      <c r="E51" s="1620">
        <v>24</v>
      </c>
      <c r="F51" s="1620">
        <v>25</v>
      </c>
      <c r="G51" s="1620">
        <v>24</v>
      </c>
      <c r="H51" s="1620">
        <v>25</v>
      </c>
    </row>
    <row r="52" spans="1:8" s="1069" customFormat="1" ht="24.95" customHeight="1">
      <c r="A52" s="1617" t="s">
        <v>3917</v>
      </c>
      <c r="B52" s="1617" t="s">
        <v>3355</v>
      </c>
      <c r="C52" s="1626">
        <v>1156</v>
      </c>
      <c r="D52" s="1626">
        <v>1160</v>
      </c>
      <c r="E52" s="1626"/>
      <c r="F52" s="1626"/>
      <c r="G52" s="1620">
        <v>1156</v>
      </c>
      <c r="H52" s="1620">
        <v>1160</v>
      </c>
    </row>
    <row r="53" spans="1:8" s="1069" customFormat="1" ht="24.95" customHeight="1">
      <c r="A53" s="1617" t="s">
        <v>3354</v>
      </c>
      <c r="B53" s="1617" t="s">
        <v>3355</v>
      </c>
      <c r="C53" s="1626"/>
      <c r="D53" s="1626"/>
      <c r="E53" s="1626">
        <v>133</v>
      </c>
      <c r="F53" s="1626">
        <v>135</v>
      </c>
      <c r="G53" s="1620">
        <v>133</v>
      </c>
      <c r="H53" s="1620">
        <v>135</v>
      </c>
    </row>
    <row r="54" spans="1:8" s="1069" customFormat="1" ht="24.95" customHeight="1">
      <c r="A54" s="1617" t="s">
        <v>3918</v>
      </c>
      <c r="B54" s="1617" t="s">
        <v>3357</v>
      </c>
      <c r="C54" s="1619">
        <v>672</v>
      </c>
      <c r="D54" s="1619">
        <v>675</v>
      </c>
      <c r="E54" s="1619"/>
      <c r="F54" s="1619"/>
      <c r="G54" s="1620">
        <v>672</v>
      </c>
      <c r="H54" s="1620">
        <v>675</v>
      </c>
    </row>
    <row r="55" spans="1:8" s="1069" customFormat="1" ht="24.95" customHeight="1">
      <c r="A55" s="1617" t="s">
        <v>3356</v>
      </c>
      <c r="B55" s="1617" t="s">
        <v>3357</v>
      </c>
      <c r="C55" s="1619"/>
      <c r="D55" s="1619"/>
      <c r="E55" s="1619">
        <v>22</v>
      </c>
      <c r="F55" s="1619">
        <v>25</v>
      </c>
      <c r="G55" s="1620">
        <v>22</v>
      </c>
      <c r="H55" s="1620">
        <v>25</v>
      </c>
    </row>
    <row r="56" spans="1:8" s="1069" customFormat="1" ht="24.95" customHeight="1">
      <c r="A56" s="1617" t="s">
        <v>3919</v>
      </c>
      <c r="B56" s="1617" t="s">
        <v>3359</v>
      </c>
      <c r="C56" s="1619">
        <v>529</v>
      </c>
      <c r="D56" s="1619">
        <v>530</v>
      </c>
      <c r="E56" s="1619"/>
      <c r="F56" s="1619"/>
      <c r="G56" s="1620">
        <v>529</v>
      </c>
      <c r="H56" s="1620">
        <v>530</v>
      </c>
    </row>
    <row r="57" spans="1:8" s="1069" customFormat="1" ht="24.95" customHeight="1">
      <c r="A57" s="1617" t="s">
        <v>3358</v>
      </c>
      <c r="B57" s="1617" t="s">
        <v>3359</v>
      </c>
      <c r="C57" s="1619"/>
      <c r="D57" s="1619"/>
      <c r="E57" s="1619">
        <v>11</v>
      </c>
      <c r="F57" s="1619">
        <v>13</v>
      </c>
      <c r="G57" s="1620">
        <v>11</v>
      </c>
      <c r="H57" s="1620">
        <v>13</v>
      </c>
    </row>
    <row r="58" spans="1:8" s="1069" customFormat="1" ht="24.95" customHeight="1">
      <c r="A58" s="1621" t="s">
        <v>3920</v>
      </c>
      <c r="B58" s="1617" t="s">
        <v>3310</v>
      </c>
      <c r="C58" s="1619">
        <v>428</v>
      </c>
      <c r="D58" s="1619">
        <v>430</v>
      </c>
      <c r="E58" s="1619"/>
      <c r="F58" s="1619"/>
      <c r="G58" s="1620">
        <v>428</v>
      </c>
      <c r="H58" s="1620">
        <v>430</v>
      </c>
    </row>
    <row r="59" spans="1:8" s="1069" customFormat="1" ht="24.95" customHeight="1">
      <c r="A59" s="1621" t="s">
        <v>3309</v>
      </c>
      <c r="B59" s="1617" t="s">
        <v>3310</v>
      </c>
      <c r="C59" s="1619"/>
      <c r="D59" s="1619"/>
      <c r="E59" s="1619">
        <v>20</v>
      </c>
      <c r="F59" s="1619">
        <v>22</v>
      </c>
      <c r="G59" s="1620">
        <v>20</v>
      </c>
      <c r="H59" s="1620">
        <v>22</v>
      </c>
    </row>
    <row r="60" spans="1:8" s="1069" customFormat="1" ht="24.95" customHeight="1">
      <c r="A60" s="1617" t="s">
        <v>3921</v>
      </c>
      <c r="B60" s="1617" t="s">
        <v>3308</v>
      </c>
      <c r="C60" s="1619">
        <v>8</v>
      </c>
      <c r="D60" s="1619">
        <v>10</v>
      </c>
      <c r="E60" s="1619"/>
      <c r="F60" s="1619"/>
      <c r="G60" s="1620">
        <v>8</v>
      </c>
      <c r="H60" s="1620">
        <v>10</v>
      </c>
    </row>
    <row r="61" spans="1:8" s="1069" customFormat="1" ht="24.95" customHeight="1">
      <c r="A61" s="1617" t="s">
        <v>3307</v>
      </c>
      <c r="B61" s="1617" t="s">
        <v>3308</v>
      </c>
      <c r="C61" s="1619"/>
      <c r="D61" s="1619"/>
      <c r="E61" s="1619">
        <v>0</v>
      </c>
      <c r="F61" s="1619">
        <v>2</v>
      </c>
      <c r="G61" s="1620">
        <v>0</v>
      </c>
      <c r="H61" s="1620">
        <v>2</v>
      </c>
    </row>
    <row r="62" spans="1:8" s="1069" customFormat="1" ht="24.95" customHeight="1">
      <c r="A62" s="1617" t="s">
        <v>3922</v>
      </c>
      <c r="B62" s="1617" t="s">
        <v>3348</v>
      </c>
      <c r="C62" s="1619">
        <v>423</v>
      </c>
      <c r="D62" s="1619">
        <v>425</v>
      </c>
      <c r="E62" s="1619"/>
      <c r="F62" s="1619"/>
      <c r="G62" s="1620">
        <v>423</v>
      </c>
      <c r="H62" s="1620">
        <v>425</v>
      </c>
    </row>
    <row r="63" spans="1:8" s="1069" customFormat="1" ht="24.95" customHeight="1">
      <c r="A63" s="1617" t="s">
        <v>3347</v>
      </c>
      <c r="B63" s="1617" t="s">
        <v>3348</v>
      </c>
      <c r="C63" s="1619"/>
      <c r="D63" s="1619"/>
      <c r="E63" s="1619">
        <v>197</v>
      </c>
      <c r="F63" s="1619">
        <v>200</v>
      </c>
      <c r="G63" s="1620">
        <v>197</v>
      </c>
      <c r="H63" s="1620">
        <v>200</v>
      </c>
    </row>
    <row r="64" spans="1:8" s="1069" customFormat="1" ht="24.95" customHeight="1">
      <c r="A64" s="1617" t="s">
        <v>3923</v>
      </c>
      <c r="B64" s="1617" t="s">
        <v>3350</v>
      </c>
      <c r="C64" s="1619">
        <v>620</v>
      </c>
      <c r="D64" s="1619">
        <v>620</v>
      </c>
      <c r="E64" s="1619"/>
      <c r="F64" s="1619"/>
      <c r="G64" s="1620">
        <v>620</v>
      </c>
      <c r="H64" s="1620">
        <v>620</v>
      </c>
    </row>
    <row r="65" spans="1:8" s="1069" customFormat="1" ht="24.95" customHeight="1">
      <c r="A65" s="1617" t="s">
        <v>3349</v>
      </c>
      <c r="B65" s="1617" t="s">
        <v>3350</v>
      </c>
      <c r="C65" s="1619"/>
      <c r="D65" s="1619"/>
      <c r="E65" s="1619">
        <v>36</v>
      </c>
      <c r="F65" s="1619">
        <v>40</v>
      </c>
      <c r="G65" s="1620">
        <v>36</v>
      </c>
      <c r="H65" s="1620">
        <v>40</v>
      </c>
    </row>
    <row r="66" spans="1:8" s="1069" customFormat="1" ht="24.95" customHeight="1">
      <c r="A66" s="1617" t="s">
        <v>3924</v>
      </c>
      <c r="B66" s="1617" t="s">
        <v>3842</v>
      </c>
      <c r="C66" s="1619">
        <v>146</v>
      </c>
      <c r="D66" s="1619">
        <v>148</v>
      </c>
      <c r="E66" s="1619"/>
      <c r="F66" s="1619"/>
      <c r="G66" s="1620">
        <v>146</v>
      </c>
      <c r="H66" s="1620">
        <v>148</v>
      </c>
    </row>
    <row r="67" spans="1:8" s="1069" customFormat="1" ht="24.95" customHeight="1">
      <c r="A67" s="1617" t="s">
        <v>3841</v>
      </c>
      <c r="B67" s="1617" t="s">
        <v>3842</v>
      </c>
      <c r="C67" s="1619"/>
      <c r="D67" s="1619"/>
      <c r="E67" s="1619">
        <v>8</v>
      </c>
      <c r="F67" s="1619">
        <v>10</v>
      </c>
      <c r="G67" s="1620">
        <v>8</v>
      </c>
      <c r="H67" s="1620">
        <v>10</v>
      </c>
    </row>
    <row r="68" spans="1:8" s="1069" customFormat="1" ht="24.95" customHeight="1">
      <c r="A68" s="1617" t="s">
        <v>3925</v>
      </c>
      <c r="B68" s="1617" t="s">
        <v>3361</v>
      </c>
      <c r="C68" s="1619">
        <v>212</v>
      </c>
      <c r="D68" s="1619">
        <v>215</v>
      </c>
      <c r="E68" s="1619"/>
      <c r="F68" s="1619"/>
      <c r="G68" s="1620">
        <v>212</v>
      </c>
      <c r="H68" s="1620">
        <v>215</v>
      </c>
    </row>
    <row r="69" spans="1:8" s="1069" customFormat="1" ht="24.95" customHeight="1">
      <c r="A69" s="1617" t="s">
        <v>3360</v>
      </c>
      <c r="B69" s="1617" t="s">
        <v>3361</v>
      </c>
      <c r="C69" s="1619"/>
      <c r="D69" s="1619"/>
      <c r="E69" s="1619">
        <v>3</v>
      </c>
      <c r="F69" s="1619">
        <v>5</v>
      </c>
      <c r="G69" s="1620">
        <v>3</v>
      </c>
      <c r="H69" s="1620">
        <v>5</v>
      </c>
    </row>
    <row r="70" spans="1:8" s="1069" customFormat="1" ht="24.95" customHeight="1">
      <c r="A70" s="1617" t="s">
        <v>3926</v>
      </c>
      <c r="B70" s="1617" t="s">
        <v>3363</v>
      </c>
      <c r="C70" s="1623">
        <v>5</v>
      </c>
      <c r="D70" s="1623">
        <v>5</v>
      </c>
      <c r="E70" s="1623"/>
      <c r="F70" s="1623"/>
      <c r="G70" s="1620">
        <v>5</v>
      </c>
      <c r="H70" s="1620">
        <v>5</v>
      </c>
    </row>
    <row r="71" spans="1:8" s="1069" customFormat="1" ht="24.95" customHeight="1">
      <c r="A71" s="1617" t="s">
        <v>3362</v>
      </c>
      <c r="B71" s="1617" t="s">
        <v>3363</v>
      </c>
      <c r="C71" s="1623"/>
      <c r="D71" s="1623"/>
      <c r="E71" s="1623">
        <v>0</v>
      </c>
      <c r="F71" s="1623">
        <v>2</v>
      </c>
      <c r="G71" s="1620">
        <v>0</v>
      </c>
      <c r="H71" s="1620">
        <v>2</v>
      </c>
    </row>
    <row r="72" spans="1:8" s="1069" customFormat="1" ht="30" customHeight="1">
      <c r="A72" s="1617" t="s">
        <v>3927</v>
      </c>
      <c r="B72" s="1617" t="s">
        <v>3369</v>
      </c>
      <c r="C72" s="1623">
        <v>64</v>
      </c>
      <c r="D72" s="1623">
        <v>67</v>
      </c>
      <c r="E72" s="1623"/>
      <c r="F72" s="1623"/>
      <c r="G72" s="1620">
        <v>64</v>
      </c>
      <c r="H72" s="1620">
        <v>67</v>
      </c>
    </row>
    <row r="73" spans="1:8" s="1069" customFormat="1" ht="30" customHeight="1">
      <c r="A73" s="1617" t="s">
        <v>3368</v>
      </c>
      <c r="B73" s="1617" t="s">
        <v>3369</v>
      </c>
      <c r="C73" s="1623"/>
      <c r="D73" s="1623"/>
      <c r="E73" s="1623">
        <v>5</v>
      </c>
      <c r="F73" s="1623">
        <v>5</v>
      </c>
      <c r="G73" s="1620">
        <v>5</v>
      </c>
      <c r="H73" s="1620">
        <v>5</v>
      </c>
    </row>
    <row r="74" spans="1:8" s="1069" customFormat="1" ht="30" customHeight="1">
      <c r="A74" s="1617" t="s">
        <v>3928</v>
      </c>
      <c r="B74" s="1617" t="s">
        <v>3367</v>
      </c>
      <c r="C74" s="1623">
        <v>4</v>
      </c>
      <c r="D74" s="1623">
        <v>5</v>
      </c>
      <c r="E74" s="1623"/>
      <c r="F74" s="1623"/>
      <c r="G74" s="1620">
        <v>4</v>
      </c>
      <c r="H74" s="1620">
        <v>5</v>
      </c>
    </row>
    <row r="75" spans="1:8" s="1069" customFormat="1" ht="30" customHeight="1">
      <c r="A75" s="1617" t="s">
        <v>3366</v>
      </c>
      <c r="B75" s="1617" t="s">
        <v>3367</v>
      </c>
      <c r="C75" s="1623"/>
      <c r="D75" s="1623"/>
      <c r="E75" s="1623">
        <v>0</v>
      </c>
      <c r="F75" s="1623">
        <v>2</v>
      </c>
      <c r="G75" s="1620">
        <v>0</v>
      </c>
      <c r="H75" s="1620">
        <v>2</v>
      </c>
    </row>
    <row r="76" spans="1:8" s="1069" customFormat="1" ht="24.95" customHeight="1">
      <c r="A76" s="1617" t="s">
        <v>3929</v>
      </c>
      <c r="B76" s="1617" t="s">
        <v>3371</v>
      </c>
      <c r="C76" s="1623">
        <v>21</v>
      </c>
      <c r="D76" s="1623">
        <v>23</v>
      </c>
      <c r="E76" s="1623"/>
      <c r="F76" s="1623"/>
      <c r="G76" s="1620">
        <v>21</v>
      </c>
      <c r="H76" s="1620">
        <v>23</v>
      </c>
    </row>
    <row r="77" spans="1:8" s="1069" customFormat="1" ht="24.95" customHeight="1">
      <c r="A77" s="1617" t="s">
        <v>3370</v>
      </c>
      <c r="B77" s="1617" t="s">
        <v>3371</v>
      </c>
      <c r="C77" s="1623"/>
      <c r="D77" s="1623"/>
      <c r="E77" s="1623">
        <v>0</v>
      </c>
      <c r="F77" s="1623">
        <v>2</v>
      </c>
      <c r="G77" s="1620">
        <v>0</v>
      </c>
      <c r="H77" s="1620">
        <v>2</v>
      </c>
    </row>
    <row r="78" spans="1:8" s="1069" customFormat="1" ht="29.25" customHeight="1">
      <c r="A78" s="1617" t="s">
        <v>3930</v>
      </c>
      <c r="B78" s="1622" t="s">
        <v>3365</v>
      </c>
      <c r="C78" s="1623">
        <v>2</v>
      </c>
      <c r="D78" s="1623">
        <v>3</v>
      </c>
      <c r="E78" s="1623"/>
      <c r="F78" s="1623"/>
      <c r="G78" s="1620">
        <v>2</v>
      </c>
      <c r="H78" s="1620">
        <v>3</v>
      </c>
    </row>
    <row r="79" spans="1:8" s="1069" customFormat="1" ht="29.25" customHeight="1">
      <c r="A79" s="1617" t="s">
        <v>3364</v>
      </c>
      <c r="B79" s="1622" t="s">
        <v>3365</v>
      </c>
      <c r="C79" s="1623"/>
      <c r="D79" s="1623"/>
      <c r="E79" s="1623">
        <v>0</v>
      </c>
      <c r="F79" s="1623">
        <v>2</v>
      </c>
      <c r="G79" s="1620">
        <v>0</v>
      </c>
      <c r="H79" s="1620">
        <v>2</v>
      </c>
    </row>
    <row r="80" spans="1:8" s="1069" customFormat="1" ht="29.25" customHeight="1">
      <c r="A80" s="1618" t="s">
        <v>3931</v>
      </c>
      <c r="B80" s="1622" t="s">
        <v>3302</v>
      </c>
      <c r="C80" s="1623">
        <v>708</v>
      </c>
      <c r="D80" s="1623">
        <v>710</v>
      </c>
      <c r="E80" s="1623"/>
      <c r="F80" s="1623"/>
      <c r="G80" s="1620">
        <v>708</v>
      </c>
      <c r="H80" s="1620">
        <v>710</v>
      </c>
    </row>
    <row r="81" spans="1:8" s="1069" customFormat="1" ht="29.25" customHeight="1">
      <c r="A81" s="1618" t="s">
        <v>3301</v>
      </c>
      <c r="B81" s="1622" t="s">
        <v>3302</v>
      </c>
      <c r="C81" s="1623"/>
      <c r="D81" s="1623"/>
      <c r="E81" s="1623">
        <v>20</v>
      </c>
      <c r="F81" s="1623">
        <v>20</v>
      </c>
      <c r="G81" s="1620">
        <v>20</v>
      </c>
      <c r="H81" s="1620">
        <v>20</v>
      </c>
    </row>
    <row r="82" spans="1:8" s="1069" customFormat="1" ht="24.95" customHeight="1">
      <c r="A82" s="1618" t="s">
        <v>3932</v>
      </c>
      <c r="B82" s="1625" t="s">
        <v>3304</v>
      </c>
      <c r="C82" s="1623">
        <v>110</v>
      </c>
      <c r="D82" s="1623">
        <v>112</v>
      </c>
      <c r="E82" s="1623"/>
      <c r="F82" s="1623"/>
      <c r="G82" s="1620">
        <v>110</v>
      </c>
      <c r="H82" s="1620">
        <v>112</v>
      </c>
    </row>
    <row r="83" spans="1:8" s="1069" customFormat="1" ht="24.95" customHeight="1">
      <c r="A83" s="1618" t="s">
        <v>3303</v>
      </c>
      <c r="B83" s="1625" t="s">
        <v>3304</v>
      </c>
      <c r="C83" s="1623"/>
      <c r="D83" s="1623"/>
      <c r="E83" s="1623">
        <v>1</v>
      </c>
      <c r="F83" s="1623">
        <v>2</v>
      </c>
      <c r="G83" s="1620">
        <v>1</v>
      </c>
      <c r="H83" s="1620">
        <v>2</v>
      </c>
    </row>
    <row r="84" spans="1:8" s="1069" customFormat="1" ht="24.95" customHeight="1">
      <c r="A84" s="1627" t="s">
        <v>3933</v>
      </c>
      <c r="B84" s="1628" t="s">
        <v>3306</v>
      </c>
      <c r="C84" s="1620">
        <v>1270</v>
      </c>
      <c r="D84" s="1620">
        <v>1275</v>
      </c>
      <c r="E84" s="1620"/>
      <c r="F84" s="1620"/>
      <c r="G84" s="1629">
        <v>1270</v>
      </c>
      <c r="H84" s="1629">
        <v>1275</v>
      </c>
    </row>
    <row r="85" spans="1:8" s="1069" customFormat="1" ht="24.95" customHeight="1">
      <c r="A85" s="1627" t="s">
        <v>3305</v>
      </c>
      <c r="B85" s="1628" t="s">
        <v>3306</v>
      </c>
      <c r="C85" s="1620"/>
      <c r="D85" s="1620"/>
      <c r="E85" s="1620">
        <v>43</v>
      </c>
      <c r="F85" s="1620">
        <v>46</v>
      </c>
      <c r="G85" s="1629">
        <v>43</v>
      </c>
      <c r="H85" s="1629">
        <v>46</v>
      </c>
    </row>
    <row r="86" spans="1:8" s="1069" customFormat="1" ht="31.5" customHeight="1">
      <c r="A86" s="1622" t="s">
        <v>3934</v>
      </c>
      <c r="B86" s="1630" t="s">
        <v>3935</v>
      </c>
      <c r="C86" s="1620">
        <v>5527</v>
      </c>
      <c r="D86" s="1620">
        <v>5530</v>
      </c>
      <c r="E86" s="1620"/>
      <c r="F86" s="1620"/>
      <c r="G86" s="1629">
        <v>5527</v>
      </c>
      <c r="H86" s="1629">
        <v>5530</v>
      </c>
    </row>
    <row r="87" spans="1:8" s="1069" customFormat="1" ht="31.5" customHeight="1">
      <c r="A87" s="1622" t="s">
        <v>3330</v>
      </c>
      <c r="B87" s="1630" t="s">
        <v>3935</v>
      </c>
      <c r="C87" s="1620"/>
      <c r="D87" s="1620"/>
      <c r="E87" s="1620">
        <v>821</v>
      </c>
      <c r="F87" s="1620">
        <v>900</v>
      </c>
      <c r="G87" s="1629">
        <v>821</v>
      </c>
      <c r="H87" s="1629">
        <v>900</v>
      </c>
    </row>
    <row r="88" spans="1:8" s="1069" customFormat="1" ht="20.25" customHeight="1">
      <c r="A88" s="1625" t="s">
        <v>3936</v>
      </c>
      <c r="B88" s="1625" t="s">
        <v>3322</v>
      </c>
      <c r="C88" s="1620">
        <v>27</v>
      </c>
      <c r="D88" s="1620">
        <v>30</v>
      </c>
      <c r="E88" s="1620"/>
      <c r="F88" s="1620"/>
      <c r="G88" s="1629">
        <v>27</v>
      </c>
      <c r="H88" s="1629">
        <v>30</v>
      </c>
    </row>
    <row r="89" spans="1:8" s="1069" customFormat="1" ht="20.25" customHeight="1">
      <c r="A89" s="1625" t="s">
        <v>3321</v>
      </c>
      <c r="B89" s="1625" t="s">
        <v>3322</v>
      </c>
      <c r="C89" s="1620"/>
      <c r="D89" s="1620"/>
      <c r="E89" s="1620">
        <v>2</v>
      </c>
      <c r="F89" s="1620">
        <v>4</v>
      </c>
      <c r="G89" s="1629">
        <v>2</v>
      </c>
      <c r="H89" s="1629">
        <v>4</v>
      </c>
    </row>
    <row r="90" spans="1:8" s="1069" customFormat="1" ht="20.25" customHeight="1">
      <c r="A90" s="1625" t="s">
        <v>3937</v>
      </c>
      <c r="B90" s="1625" t="s">
        <v>3324</v>
      </c>
      <c r="C90" s="1620">
        <v>204</v>
      </c>
      <c r="D90" s="1620">
        <v>205</v>
      </c>
      <c r="E90" s="1620"/>
      <c r="F90" s="1620"/>
      <c r="G90" s="1620">
        <v>204</v>
      </c>
      <c r="H90" s="1620">
        <v>205</v>
      </c>
    </row>
    <row r="91" spans="1:8" s="1069" customFormat="1" ht="20.25" customHeight="1">
      <c r="A91" s="1625" t="s">
        <v>3323</v>
      </c>
      <c r="B91" s="1625" t="s">
        <v>3324</v>
      </c>
      <c r="C91" s="1620"/>
      <c r="D91" s="1620"/>
      <c r="E91" s="1620">
        <v>7</v>
      </c>
      <c r="F91" s="1620">
        <v>8</v>
      </c>
      <c r="G91" s="1620">
        <v>7</v>
      </c>
      <c r="H91" s="1620">
        <v>8</v>
      </c>
    </row>
    <row r="92" spans="1:8" s="1069" customFormat="1" ht="19.5" customHeight="1">
      <c r="A92" s="1631" t="s">
        <v>3938</v>
      </c>
      <c r="B92" s="1632" t="s">
        <v>3326</v>
      </c>
      <c r="C92" s="1633">
        <v>232</v>
      </c>
      <c r="D92" s="1626">
        <v>235</v>
      </c>
      <c r="E92" s="1626"/>
      <c r="F92" s="1626"/>
      <c r="G92" s="1634">
        <v>232</v>
      </c>
      <c r="H92" s="1634">
        <v>235</v>
      </c>
    </row>
    <row r="93" spans="1:8" s="1069" customFormat="1" ht="19.5" customHeight="1">
      <c r="A93" s="1631" t="s">
        <v>3325</v>
      </c>
      <c r="B93" s="1632" t="s">
        <v>3326</v>
      </c>
      <c r="C93" s="1633"/>
      <c r="D93" s="1626"/>
      <c r="E93" s="1626">
        <v>17</v>
      </c>
      <c r="F93" s="1626">
        <v>18</v>
      </c>
      <c r="G93" s="1634">
        <v>17</v>
      </c>
      <c r="H93" s="1634">
        <v>18</v>
      </c>
    </row>
    <row r="94" spans="1:8" s="1069" customFormat="1" ht="15.95" customHeight="1">
      <c r="A94" s="1628" t="s">
        <v>3939</v>
      </c>
      <c r="B94" s="1635" t="s">
        <v>3344</v>
      </c>
      <c r="C94" s="1619">
        <v>43</v>
      </c>
      <c r="D94" s="1619">
        <v>45</v>
      </c>
      <c r="E94" s="1619"/>
      <c r="F94" s="1619"/>
      <c r="G94" s="1620">
        <v>43</v>
      </c>
      <c r="H94" s="1620">
        <v>45</v>
      </c>
    </row>
    <row r="95" spans="1:8" s="1069" customFormat="1" ht="15.95" customHeight="1">
      <c r="A95" s="1628" t="s">
        <v>3343</v>
      </c>
      <c r="B95" s="1635" t="s">
        <v>3344</v>
      </c>
      <c r="C95" s="1619"/>
      <c r="D95" s="1619"/>
      <c r="E95" s="1619">
        <v>1</v>
      </c>
      <c r="F95" s="1619">
        <v>2</v>
      </c>
      <c r="G95" s="1620">
        <v>1</v>
      </c>
      <c r="H95" s="1620">
        <v>2</v>
      </c>
    </row>
    <row r="96" spans="1:8" s="1069" customFormat="1" ht="15.95" customHeight="1">
      <c r="A96" s="1625" t="s">
        <v>3337</v>
      </c>
      <c r="B96" s="1628" t="s">
        <v>3338</v>
      </c>
      <c r="C96" s="1619"/>
      <c r="D96" s="1619"/>
      <c r="E96" s="1619">
        <v>0</v>
      </c>
      <c r="F96" s="1619">
        <v>2</v>
      </c>
      <c r="G96" s="1620">
        <v>0</v>
      </c>
      <c r="H96" s="1620">
        <v>2</v>
      </c>
    </row>
    <row r="97" spans="1:8" s="1069" customFormat="1" ht="15.95" customHeight="1">
      <c r="A97" s="1625" t="s">
        <v>3940</v>
      </c>
      <c r="B97" s="1628" t="s">
        <v>3346</v>
      </c>
      <c r="C97" s="1619">
        <v>2</v>
      </c>
      <c r="D97" s="1619">
        <v>0</v>
      </c>
      <c r="E97" s="1619"/>
      <c r="F97" s="1619"/>
      <c r="G97" s="1620">
        <v>2</v>
      </c>
      <c r="H97" s="1620">
        <v>0</v>
      </c>
    </row>
    <row r="98" spans="1:8" s="1069" customFormat="1" ht="15.95" customHeight="1">
      <c r="A98" s="1625" t="s">
        <v>3345</v>
      </c>
      <c r="B98" s="1628" t="s">
        <v>3346</v>
      </c>
      <c r="C98" s="1619"/>
      <c r="D98" s="1619"/>
      <c r="E98" s="1619">
        <v>0</v>
      </c>
      <c r="F98" s="1619">
        <v>0</v>
      </c>
      <c r="G98" s="1620">
        <v>0</v>
      </c>
      <c r="H98" s="1620">
        <v>0</v>
      </c>
    </row>
    <row r="99" spans="1:8" s="1069" customFormat="1" ht="15.95" customHeight="1">
      <c r="A99" s="1628" t="s">
        <v>3941</v>
      </c>
      <c r="B99" s="1635" t="s">
        <v>2126</v>
      </c>
      <c r="C99" s="1619">
        <v>2</v>
      </c>
      <c r="D99" s="1619">
        <v>0</v>
      </c>
      <c r="E99" s="1619"/>
      <c r="F99" s="1619"/>
      <c r="G99" s="1620">
        <v>2</v>
      </c>
      <c r="H99" s="1620">
        <v>0</v>
      </c>
    </row>
    <row r="100" spans="1:8" s="1069" customFormat="1" ht="15.95" customHeight="1">
      <c r="A100" s="1628" t="s">
        <v>2125</v>
      </c>
      <c r="B100" s="1635" t="s">
        <v>2126</v>
      </c>
      <c r="C100" s="1619"/>
      <c r="D100" s="1619"/>
      <c r="E100" s="1619">
        <v>0</v>
      </c>
      <c r="F100" s="1619">
        <v>0</v>
      </c>
      <c r="G100" s="1620">
        <v>0</v>
      </c>
      <c r="H100" s="1620">
        <v>0</v>
      </c>
    </row>
    <row r="101" spans="1:8" s="1069" customFormat="1" ht="15.95" customHeight="1">
      <c r="A101" s="1628" t="s">
        <v>3942</v>
      </c>
      <c r="B101" s="1635" t="s">
        <v>2128</v>
      </c>
      <c r="C101" s="1619">
        <v>0</v>
      </c>
      <c r="D101" s="1619">
        <v>0</v>
      </c>
      <c r="E101" s="1619"/>
      <c r="F101" s="1619"/>
      <c r="G101" s="1620">
        <v>0</v>
      </c>
      <c r="H101" s="1620">
        <v>0</v>
      </c>
    </row>
    <row r="102" spans="1:8" s="1069" customFormat="1" ht="15.95" customHeight="1">
      <c r="A102" s="1628" t="s">
        <v>2127</v>
      </c>
      <c r="B102" s="1635" t="s">
        <v>2128</v>
      </c>
      <c r="C102" s="1619"/>
      <c r="D102" s="1619"/>
      <c r="E102" s="1619">
        <v>0</v>
      </c>
      <c r="F102" s="1619">
        <v>0</v>
      </c>
      <c r="G102" s="1620">
        <v>0</v>
      </c>
      <c r="H102" s="1620">
        <v>0</v>
      </c>
    </row>
    <row r="103" spans="1:8" s="1069" customFormat="1" ht="15.95" customHeight="1">
      <c r="A103" s="1628" t="s">
        <v>3943</v>
      </c>
      <c r="B103" s="1635" t="s">
        <v>3340</v>
      </c>
      <c r="C103" s="1636">
        <v>4</v>
      </c>
      <c r="D103" s="1636">
        <v>0</v>
      </c>
      <c r="E103" s="1636"/>
      <c r="F103" s="1636"/>
      <c r="G103" s="1620">
        <v>4</v>
      </c>
      <c r="H103" s="1620">
        <v>0</v>
      </c>
    </row>
    <row r="104" spans="1:8" s="1069" customFormat="1" ht="15.95" customHeight="1">
      <c r="A104" s="1628" t="s">
        <v>3339</v>
      </c>
      <c r="B104" s="1635" t="s">
        <v>3340</v>
      </c>
      <c r="C104" s="1636"/>
      <c r="D104" s="1636"/>
      <c r="E104" s="1636">
        <v>0</v>
      </c>
      <c r="F104" s="1636">
        <v>0</v>
      </c>
      <c r="G104" s="1620">
        <v>0</v>
      </c>
      <c r="H104" s="1620">
        <v>0</v>
      </c>
    </row>
    <row r="105" spans="1:8" s="1069" customFormat="1" ht="15.95" customHeight="1">
      <c r="A105" s="1617" t="s">
        <v>3944</v>
      </c>
      <c r="B105" s="1618" t="s">
        <v>3342</v>
      </c>
      <c r="C105" s="1619">
        <v>3</v>
      </c>
      <c r="D105" s="1619">
        <v>0</v>
      </c>
      <c r="E105" s="1619"/>
      <c r="F105" s="1619"/>
      <c r="G105" s="1620">
        <v>3</v>
      </c>
      <c r="H105" s="1620">
        <v>0</v>
      </c>
    </row>
    <row r="106" spans="1:8" s="1069" customFormat="1" ht="15.95" customHeight="1">
      <c r="A106" s="1617" t="s">
        <v>3341</v>
      </c>
      <c r="B106" s="1618" t="s">
        <v>3342</v>
      </c>
      <c r="C106" s="1619"/>
      <c r="D106" s="1619"/>
      <c r="E106" s="1619">
        <v>0</v>
      </c>
      <c r="F106" s="1619">
        <v>0</v>
      </c>
      <c r="G106" s="1620">
        <v>0</v>
      </c>
      <c r="H106" s="1620">
        <v>0</v>
      </c>
    </row>
    <row r="107" spans="1:8" s="1069" customFormat="1" ht="15.95" customHeight="1">
      <c r="A107" s="1617" t="s">
        <v>3945</v>
      </c>
      <c r="B107" s="1618" t="s">
        <v>3336</v>
      </c>
      <c r="C107" s="1619">
        <v>334</v>
      </c>
      <c r="D107" s="1619">
        <v>335</v>
      </c>
      <c r="E107" s="1619"/>
      <c r="F107" s="1619"/>
      <c r="G107" s="1620">
        <v>334</v>
      </c>
      <c r="H107" s="1620">
        <v>335</v>
      </c>
    </row>
    <row r="108" spans="1:8" s="1069" customFormat="1" ht="15.95" customHeight="1">
      <c r="A108" s="1617" t="s">
        <v>3335</v>
      </c>
      <c r="B108" s="1618" t="s">
        <v>3336</v>
      </c>
      <c r="C108" s="1619"/>
      <c r="D108" s="1619"/>
      <c r="E108" s="1619">
        <v>158</v>
      </c>
      <c r="F108" s="1619">
        <v>160</v>
      </c>
      <c r="G108" s="1620">
        <v>158</v>
      </c>
      <c r="H108" s="1620">
        <v>160</v>
      </c>
    </row>
    <row r="109" spans="1:8" s="1069" customFormat="1" ht="15.95" customHeight="1">
      <c r="A109" s="1617" t="s">
        <v>3331</v>
      </c>
      <c r="B109" s="1618" t="s">
        <v>3332</v>
      </c>
      <c r="C109" s="1619"/>
      <c r="D109" s="1619"/>
      <c r="E109" s="1619">
        <v>0</v>
      </c>
      <c r="F109" s="1619">
        <v>0</v>
      </c>
      <c r="G109" s="1620">
        <v>0</v>
      </c>
      <c r="H109" s="1620">
        <v>0</v>
      </c>
    </row>
    <row r="110" spans="1:8" s="1069" customFormat="1" ht="15" customHeight="1">
      <c r="A110" s="1625" t="s">
        <v>3946</v>
      </c>
      <c r="B110" s="1628" t="s">
        <v>3334</v>
      </c>
      <c r="C110" s="1619">
        <v>3</v>
      </c>
      <c r="D110" s="1619">
        <v>0</v>
      </c>
      <c r="E110" s="1619"/>
      <c r="F110" s="1619"/>
      <c r="G110" s="1620">
        <v>3</v>
      </c>
      <c r="H110" s="1620">
        <v>0</v>
      </c>
    </row>
    <row r="111" spans="1:8" s="1069" customFormat="1" ht="15" customHeight="1">
      <c r="A111" s="1625" t="s">
        <v>3333</v>
      </c>
      <c r="B111" s="1628" t="s">
        <v>3334</v>
      </c>
      <c r="C111" s="1619"/>
      <c r="D111" s="1619"/>
      <c r="E111" s="1619">
        <v>0</v>
      </c>
      <c r="F111" s="1619">
        <v>2</v>
      </c>
      <c r="G111" s="1620">
        <v>0</v>
      </c>
      <c r="H111" s="1620">
        <v>2</v>
      </c>
    </row>
    <row r="112" spans="1:8" s="1069" customFormat="1" ht="15" customHeight="1">
      <c r="A112" s="1624" t="s">
        <v>3947</v>
      </c>
      <c r="B112" s="1624" t="s">
        <v>3329</v>
      </c>
      <c r="C112" s="1619">
        <v>62</v>
      </c>
      <c r="D112" s="1619">
        <v>65</v>
      </c>
      <c r="E112" s="1619"/>
      <c r="F112" s="1619"/>
      <c r="G112" s="1620">
        <v>62</v>
      </c>
      <c r="H112" s="1620">
        <v>65</v>
      </c>
    </row>
    <row r="113" spans="1:8" s="1069" customFormat="1" ht="15" customHeight="1">
      <c r="A113" s="1624" t="s">
        <v>162</v>
      </c>
      <c r="B113" s="1624" t="s">
        <v>3329</v>
      </c>
      <c r="C113" s="1619"/>
      <c r="D113" s="1619"/>
      <c r="E113" s="1619">
        <v>1</v>
      </c>
      <c r="F113" s="1619">
        <v>0</v>
      </c>
      <c r="G113" s="1620">
        <v>1</v>
      </c>
      <c r="H113" s="1620">
        <v>0</v>
      </c>
    </row>
    <row r="114" spans="1:8" s="1069" customFormat="1" ht="15.95" customHeight="1">
      <c r="A114" s="1617" t="s">
        <v>3948</v>
      </c>
      <c r="B114" s="1618" t="s">
        <v>3328</v>
      </c>
      <c r="C114" s="1619">
        <v>17</v>
      </c>
      <c r="D114" s="1619">
        <v>20</v>
      </c>
      <c r="E114" s="1619"/>
      <c r="F114" s="1619"/>
      <c r="G114" s="1620">
        <v>17</v>
      </c>
      <c r="H114" s="1620">
        <v>20</v>
      </c>
    </row>
    <row r="115" spans="1:8" s="1069" customFormat="1" ht="15.95" customHeight="1">
      <c r="A115" s="1617" t="s">
        <v>3327</v>
      </c>
      <c r="B115" s="1618" t="s">
        <v>3328</v>
      </c>
      <c r="C115" s="1619"/>
      <c r="D115" s="1619"/>
      <c r="E115" s="1619">
        <v>0</v>
      </c>
      <c r="F115" s="1619">
        <v>0</v>
      </c>
      <c r="G115" s="1620">
        <v>0</v>
      </c>
      <c r="H115" s="1620">
        <v>0</v>
      </c>
    </row>
    <row r="116" spans="1:8" s="1069" customFormat="1" ht="15.95" customHeight="1">
      <c r="A116" s="1617" t="s">
        <v>3949</v>
      </c>
      <c r="B116" s="1618" t="s">
        <v>2834</v>
      </c>
      <c r="C116" s="1619">
        <v>0</v>
      </c>
      <c r="D116" s="1619">
        <v>0</v>
      </c>
      <c r="E116" s="1619"/>
      <c r="F116" s="1619"/>
      <c r="G116" s="1620">
        <v>0</v>
      </c>
      <c r="H116" s="1620">
        <v>0</v>
      </c>
    </row>
    <row r="117" spans="1:8" s="1069" customFormat="1" ht="15.95" customHeight="1">
      <c r="A117" s="1617" t="s">
        <v>3351</v>
      </c>
      <c r="B117" s="1618" t="s">
        <v>2834</v>
      </c>
      <c r="C117" s="1619"/>
      <c r="D117" s="1619"/>
      <c r="E117" s="1619">
        <v>0</v>
      </c>
      <c r="F117" s="1619">
        <v>0</v>
      </c>
      <c r="G117" s="1620">
        <v>0</v>
      </c>
      <c r="H117" s="1620">
        <v>0</v>
      </c>
    </row>
    <row r="118" spans="1:8" s="1069" customFormat="1" ht="15.95" customHeight="1">
      <c r="A118" s="1617" t="s">
        <v>3372</v>
      </c>
      <c r="B118" s="1618" t="s">
        <v>3373</v>
      </c>
      <c r="C118" s="1619"/>
      <c r="D118" s="1619"/>
      <c r="E118" s="1619">
        <v>0</v>
      </c>
      <c r="F118" s="1619">
        <v>0</v>
      </c>
      <c r="G118" s="1620">
        <v>0</v>
      </c>
      <c r="H118" s="1620">
        <v>0</v>
      </c>
    </row>
    <row r="119" spans="1:8" ht="15" customHeight="1">
      <c r="A119" s="1637"/>
      <c r="B119" s="1638"/>
      <c r="C119" s="1639"/>
      <c r="D119" s="1640"/>
      <c r="E119" s="1639"/>
      <c r="F119" s="1640"/>
      <c r="G119" s="1640"/>
      <c r="H119" s="1640"/>
    </row>
    <row r="120" spans="1:8" ht="19.5" customHeight="1">
      <c r="A120" s="1641" t="s">
        <v>318</v>
      </c>
      <c r="B120" s="1642"/>
      <c r="C120" s="1643"/>
      <c r="D120" s="1644"/>
      <c r="E120" s="1644"/>
      <c r="F120" s="1644"/>
      <c r="G120" s="1644"/>
      <c r="H120" s="1644"/>
    </row>
    <row r="121" spans="1:8" s="1069" customFormat="1" ht="15.75" customHeight="1">
      <c r="A121" s="1641" t="s">
        <v>238</v>
      </c>
      <c r="B121" s="1645"/>
      <c r="C121" s="1646">
        <v>7714</v>
      </c>
      <c r="D121" s="1646">
        <v>7781</v>
      </c>
      <c r="E121" s="1646">
        <v>1314</v>
      </c>
      <c r="F121" s="1646">
        <v>1475</v>
      </c>
      <c r="G121" s="1647">
        <v>9028</v>
      </c>
      <c r="H121" s="1647">
        <v>9256</v>
      </c>
    </row>
    <row r="122" spans="1:8" s="1069" customFormat="1" ht="18" customHeight="1">
      <c r="A122" s="1648" t="s">
        <v>239</v>
      </c>
      <c r="B122" s="1649"/>
      <c r="C122" s="1646">
        <f>SUM(C123:C138)</f>
        <v>8066</v>
      </c>
      <c r="D122" s="1646">
        <f>SUM(D123:D138)</f>
        <v>8117</v>
      </c>
      <c r="E122" s="1646">
        <f>SUM(E123:E138)</f>
        <v>1546</v>
      </c>
      <c r="F122" s="1646">
        <f>SUM(F123:F138)</f>
        <v>1580</v>
      </c>
      <c r="G122" s="1647">
        <f>C122+E122</f>
        <v>9612</v>
      </c>
      <c r="H122" s="1647">
        <f>D122+F122</f>
        <v>9697</v>
      </c>
    </row>
    <row r="123" spans="1:8" ht="18.75" customHeight="1">
      <c r="A123" s="1248" t="s">
        <v>2977</v>
      </c>
      <c r="B123" s="1248" t="s">
        <v>2978</v>
      </c>
      <c r="C123" s="1619">
        <v>322</v>
      </c>
      <c r="D123" s="1619">
        <v>325</v>
      </c>
      <c r="E123" s="1619">
        <v>11</v>
      </c>
      <c r="F123" s="1619">
        <v>12</v>
      </c>
      <c r="G123" s="1620">
        <v>333</v>
      </c>
      <c r="H123" s="1620">
        <v>337</v>
      </c>
    </row>
    <row r="124" spans="1:8" s="1069" customFormat="1" ht="15" customHeight="1">
      <c r="A124" s="1650">
        <v>55032001</v>
      </c>
      <c r="B124" s="1651" t="s">
        <v>3844</v>
      </c>
      <c r="C124" s="1652">
        <v>310</v>
      </c>
      <c r="D124" s="1652">
        <v>312</v>
      </c>
      <c r="E124" s="1652">
        <v>7</v>
      </c>
      <c r="F124" s="1652">
        <v>8</v>
      </c>
      <c r="G124" s="1653">
        <v>317</v>
      </c>
      <c r="H124" s="1653">
        <v>320</v>
      </c>
    </row>
    <row r="125" spans="1:8" s="1069" customFormat="1" ht="18.75" customHeight="1">
      <c r="A125" s="1617" t="s">
        <v>3374</v>
      </c>
      <c r="B125" s="1617" t="s">
        <v>3375</v>
      </c>
      <c r="C125" s="1619">
        <v>2961</v>
      </c>
      <c r="D125" s="1619">
        <v>2970</v>
      </c>
      <c r="E125" s="1619">
        <v>841</v>
      </c>
      <c r="F125" s="1619">
        <v>845</v>
      </c>
      <c r="G125" s="1620">
        <v>3802</v>
      </c>
      <c r="H125" s="1620">
        <v>3815</v>
      </c>
    </row>
    <row r="126" spans="1:8" s="1069" customFormat="1" ht="16.5" customHeight="1">
      <c r="A126" s="1617" t="s">
        <v>2119</v>
      </c>
      <c r="B126" s="1618" t="s">
        <v>2120</v>
      </c>
      <c r="C126" s="1619">
        <v>383</v>
      </c>
      <c r="D126" s="1619">
        <v>385</v>
      </c>
      <c r="E126" s="1619">
        <v>133</v>
      </c>
      <c r="F126" s="1619">
        <v>135</v>
      </c>
      <c r="G126" s="1620">
        <v>516</v>
      </c>
      <c r="H126" s="1620">
        <v>520</v>
      </c>
    </row>
    <row r="127" spans="1:8" ht="20.25" customHeight="1">
      <c r="A127" s="1654" t="s">
        <v>2121</v>
      </c>
      <c r="B127" s="1655" t="s">
        <v>3845</v>
      </c>
      <c r="C127" s="1250">
        <v>66</v>
      </c>
      <c r="D127" s="1250">
        <v>70</v>
      </c>
      <c r="E127" s="1250">
        <v>6</v>
      </c>
      <c r="F127" s="1250">
        <v>10</v>
      </c>
      <c r="G127" s="1656">
        <v>72</v>
      </c>
      <c r="H127" s="1656">
        <v>80</v>
      </c>
    </row>
    <row r="128" spans="1:8" s="1069" customFormat="1" ht="18" customHeight="1">
      <c r="A128" s="1617" t="s">
        <v>2123</v>
      </c>
      <c r="B128" s="1617" t="s">
        <v>2124</v>
      </c>
      <c r="C128" s="1619">
        <v>61</v>
      </c>
      <c r="D128" s="1619">
        <v>65</v>
      </c>
      <c r="E128" s="1619">
        <v>15</v>
      </c>
      <c r="F128" s="1619">
        <v>17</v>
      </c>
      <c r="G128" s="1620">
        <v>76</v>
      </c>
      <c r="H128" s="1620">
        <v>82</v>
      </c>
    </row>
    <row r="129" spans="1:8" s="1069" customFormat="1" ht="33.75" customHeight="1">
      <c r="A129" s="1654" t="s">
        <v>3376</v>
      </c>
      <c r="B129" s="1657" t="s">
        <v>3377</v>
      </c>
      <c r="C129" s="1250">
        <v>1075</v>
      </c>
      <c r="D129" s="1250">
        <v>1080</v>
      </c>
      <c r="E129" s="1250">
        <v>196</v>
      </c>
      <c r="F129" s="1250">
        <v>200</v>
      </c>
      <c r="G129" s="1656">
        <v>1271</v>
      </c>
      <c r="H129" s="1656">
        <v>1280</v>
      </c>
    </row>
    <row r="130" spans="1:8" s="1069" customFormat="1" ht="35.25" customHeight="1">
      <c r="A130" s="1654" t="s">
        <v>3378</v>
      </c>
      <c r="B130" s="1657" t="s">
        <v>3379</v>
      </c>
      <c r="C130" s="1250">
        <v>1078</v>
      </c>
      <c r="D130" s="1250">
        <v>1080</v>
      </c>
      <c r="E130" s="1250">
        <v>199</v>
      </c>
      <c r="F130" s="1250">
        <v>200</v>
      </c>
      <c r="G130" s="1656">
        <v>1277</v>
      </c>
      <c r="H130" s="1656">
        <v>1280</v>
      </c>
    </row>
    <row r="131" spans="1:8" ht="32.25" customHeight="1">
      <c r="A131" s="1654" t="s">
        <v>3380</v>
      </c>
      <c r="B131" s="1657" t="s">
        <v>3381</v>
      </c>
      <c r="C131" s="1250">
        <v>82</v>
      </c>
      <c r="D131" s="1250">
        <v>85</v>
      </c>
      <c r="E131" s="1250">
        <v>13</v>
      </c>
      <c r="F131" s="1250">
        <v>15</v>
      </c>
      <c r="G131" s="1656">
        <v>95</v>
      </c>
      <c r="H131" s="1656">
        <v>100</v>
      </c>
    </row>
    <row r="132" spans="1:8" ht="33" customHeight="1">
      <c r="A132" s="1654" t="s">
        <v>3382</v>
      </c>
      <c r="B132" s="1657" t="s">
        <v>3383</v>
      </c>
      <c r="C132" s="1250">
        <v>85</v>
      </c>
      <c r="D132" s="1250">
        <v>87</v>
      </c>
      <c r="E132" s="1250">
        <v>12</v>
      </c>
      <c r="F132" s="1250">
        <v>15</v>
      </c>
      <c r="G132" s="1656">
        <v>97</v>
      </c>
      <c r="H132" s="1656">
        <v>102</v>
      </c>
    </row>
    <row r="133" spans="1:8" ht="34.5" customHeight="1">
      <c r="A133" s="1654" t="s">
        <v>3384</v>
      </c>
      <c r="B133" s="1657" t="s">
        <v>3385</v>
      </c>
      <c r="C133" s="1250">
        <v>742</v>
      </c>
      <c r="D133" s="1250">
        <v>745</v>
      </c>
      <c r="E133" s="1250">
        <v>89</v>
      </c>
      <c r="F133" s="1250">
        <v>90</v>
      </c>
      <c r="G133" s="1656">
        <v>931</v>
      </c>
      <c r="H133" s="1656">
        <v>935</v>
      </c>
    </row>
    <row r="134" spans="1:8" ht="33.75" customHeight="1">
      <c r="A134" s="1654" t="s">
        <v>3386</v>
      </c>
      <c r="B134" s="1657" t="s">
        <v>3387</v>
      </c>
      <c r="C134" s="1250">
        <v>18</v>
      </c>
      <c r="D134" s="1250">
        <v>20</v>
      </c>
      <c r="E134" s="1250">
        <v>4</v>
      </c>
      <c r="F134" s="1250">
        <v>5</v>
      </c>
      <c r="G134" s="1656">
        <v>22</v>
      </c>
      <c r="H134" s="1656">
        <v>25</v>
      </c>
    </row>
    <row r="135" spans="1:8" ht="32.25" customHeight="1">
      <c r="A135" s="1654" t="s">
        <v>3388</v>
      </c>
      <c r="B135" s="1657" t="s">
        <v>3389</v>
      </c>
      <c r="C135" s="1250">
        <v>8</v>
      </c>
      <c r="D135" s="1250">
        <v>10</v>
      </c>
      <c r="E135" s="1250">
        <v>1</v>
      </c>
      <c r="F135" s="1250">
        <v>2</v>
      </c>
      <c r="G135" s="1656">
        <v>9</v>
      </c>
      <c r="H135" s="1656">
        <v>12</v>
      </c>
    </row>
    <row r="136" spans="1:8" ht="24.95" customHeight="1">
      <c r="A136" s="1654" t="s">
        <v>2831</v>
      </c>
      <c r="B136" s="1657" t="s">
        <v>2832</v>
      </c>
      <c r="C136" s="1250">
        <v>83</v>
      </c>
      <c r="D136" s="1250">
        <v>85</v>
      </c>
      <c r="E136" s="1250">
        <v>11</v>
      </c>
      <c r="F136" s="1250">
        <v>15</v>
      </c>
      <c r="G136" s="1656">
        <v>94</v>
      </c>
      <c r="H136" s="1656">
        <v>100</v>
      </c>
    </row>
    <row r="137" spans="1:8" ht="30.75" customHeight="1">
      <c r="A137" s="1654" t="s">
        <v>3846</v>
      </c>
      <c r="B137" s="1657" t="s">
        <v>3847</v>
      </c>
      <c r="C137" s="1250">
        <v>16</v>
      </c>
      <c r="D137" s="1250">
        <v>18</v>
      </c>
      <c r="E137" s="1250">
        <v>2</v>
      </c>
      <c r="F137" s="1250">
        <v>3</v>
      </c>
      <c r="G137" s="1656">
        <v>18</v>
      </c>
      <c r="H137" s="1656">
        <v>21</v>
      </c>
    </row>
    <row r="138" spans="1:8" ht="24.95" customHeight="1">
      <c r="A138" s="1658" t="s">
        <v>163</v>
      </c>
      <c r="B138" s="1659" t="s">
        <v>3390</v>
      </c>
      <c r="C138" s="1619">
        <v>776</v>
      </c>
      <c r="D138" s="1619">
        <v>780</v>
      </c>
      <c r="E138" s="1619">
        <v>6</v>
      </c>
      <c r="F138" s="1619">
        <v>8</v>
      </c>
      <c r="G138" s="1620">
        <v>782</v>
      </c>
      <c r="H138" s="1620">
        <v>788</v>
      </c>
    </row>
    <row r="139" spans="1:8" ht="18" customHeight="1">
      <c r="A139" s="1036" t="s">
        <v>3392</v>
      </c>
      <c r="B139" s="1027"/>
      <c r="C139" s="1070"/>
      <c r="D139" s="1031"/>
      <c r="E139" s="1070"/>
      <c r="F139" s="1031"/>
      <c r="G139" s="1031"/>
      <c r="H139" s="1031"/>
    </row>
    <row r="140" spans="1:8" ht="20.25" customHeight="1">
      <c r="A140" s="1035" t="s">
        <v>238</v>
      </c>
      <c r="B140" s="1034"/>
      <c r="C140" s="1031"/>
      <c r="D140" s="1031"/>
      <c r="E140" s="1031"/>
      <c r="F140" s="1031"/>
      <c r="G140" s="1030"/>
      <c r="H140" s="1030"/>
    </row>
    <row r="141" spans="1:8" ht="19.5" customHeight="1">
      <c r="A141" s="1033" t="s">
        <v>239</v>
      </c>
      <c r="B141" s="1032"/>
      <c r="C141" s="1031"/>
      <c r="D141" s="1031"/>
      <c r="E141" s="1031"/>
      <c r="F141" s="1031"/>
      <c r="G141" s="1030"/>
      <c r="H141" s="1030"/>
    </row>
    <row r="142" spans="1:8" ht="19.5" customHeight="1">
      <c r="A142" s="1033"/>
      <c r="B142" s="1032"/>
      <c r="C142" s="1235"/>
      <c r="D142" s="1235"/>
      <c r="E142" s="1235"/>
      <c r="F142" s="1235"/>
      <c r="G142" s="1236"/>
      <c r="H142" s="1236"/>
    </row>
    <row r="143" spans="1:8" ht="15.95" customHeight="1">
      <c r="A143" s="1230" t="s">
        <v>319</v>
      </c>
      <c r="B143" s="1231"/>
      <c r="C143" s="1046"/>
      <c r="D143" s="1046"/>
      <c r="E143" s="1078"/>
      <c r="F143" s="1078"/>
      <c r="G143" s="1078"/>
      <c r="H143" s="1078"/>
    </row>
    <row r="144" spans="1:8" ht="15.95" customHeight="1">
      <c r="A144" s="1230" t="s">
        <v>238</v>
      </c>
      <c r="B144" s="1232"/>
      <c r="C144" s="1676">
        <v>0</v>
      </c>
      <c r="D144" s="1676">
        <v>1431</v>
      </c>
      <c r="E144" s="1676">
        <v>47</v>
      </c>
      <c r="F144" s="1676">
        <v>295</v>
      </c>
      <c r="G144" s="1676">
        <v>47</v>
      </c>
      <c r="H144" s="1676">
        <v>1726</v>
      </c>
    </row>
    <row r="145" spans="1:8" ht="24" customHeight="1">
      <c r="A145" s="1233" t="s">
        <v>239</v>
      </c>
      <c r="B145" s="1234"/>
      <c r="C145" s="1237">
        <v>0</v>
      </c>
      <c r="D145" s="1237">
        <v>1469</v>
      </c>
      <c r="E145" s="1237">
        <v>67</v>
      </c>
      <c r="F145" s="1237">
        <v>380</v>
      </c>
      <c r="G145" s="1237">
        <v>67</v>
      </c>
      <c r="H145" s="1237">
        <v>1849</v>
      </c>
    </row>
    <row r="146" spans="1:8" ht="15.95" customHeight="1">
      <c r="A146" s="1662" t="s">
        <v>4181</v>
      </c>
      <c r="B146" s="1663" t="s">
        <v>4182</v>
      </c>
      <c r="C146" s="1620">
        <v>0</v>
      </c>
      <c r="D146" s="1620">
        <v>40</v>
      </c>
      <c r="E146" s="1620">
        <v>0</v>
      </c>
      <c r="F146" s="1620">
        <v>10</v>
      </c>
      <c r="G146" s="1620">
        <v>0</v>
      </c>
      <c r="H146" s="1620">
        <v>50</v>
      </c>
    </row>
    <row r="147" spans="1:8" ht="15.95" customHeight="1">
      <c r="A147" s="1662" t="s">
        <v>3969</v>
      </c>
      <c r="B147" s="1663" t="s">
        <v>4033</v>
      </c>
      <c r="C147" s="1620">
        <v>0</v>
      </c>
      <c r="D147" s="1620">
        <v>40</v>
      </c>
      <c r="E147" s="1620">
        <v>3</v>
      </c>
      <c r="F147" s="1620">
        <v>10</v>
      </c>
      <c r="G147" s="1620">
        <v>3</v>
      </c>
      <c r="H147" s="1620">
        <v>50</v>
      </c>
    </row>
    <row r="148" spans="1:8" ht="15.95" customHeight="1">
      <c r="A148" s="1664">
        <v>56007001</v>
      </c>
      <c r="B148" s="1663" t="s">
        <v>3968</v>
      </c>
      <c r="C148" s="1620">
        <v>0</v>
      </c>
      <c r="D148" s="1620">
        <v>80</v>
      </c>
      <c r="E148" s="1620">
        <v>3</v>
      </c>
      <c r="F148" s="1620">
        <v>20</v>
      </c>
      <c r="G148" s="1620">
        <v>3</v>
      </c>
      <c r="H148" s="1620">
        <v>100</v>
      </c>
    </row>
    <row r="149" spans="1:8" ht="15.95" customHeight="1">
      <c r="A149" s="1664" t="s">
        <v>4034</v>
      </c>
      <c r="B149" s="1663" t="s">
        <v>3967</v>
      </c>
      <c r="C149" s="1620">
        <v>0</v>
      </c>
      <c r="D149" s="1620">
        <v>80</v>
      </c>
      <c r="E149" s="1620">
        <v>3</v>
      </c>
      <c r="F149" s="1620">
        <v>20</v>
      </c>
      <c r="G149" s="1620">
        <v>3</v>
      </c>
      <c r="H149" s="1620">
        <v>100</v>
      </c>
    </row>
    <row r="150" spans="1:8" ht="15.95" customHeight="1">
      <c r="A150" s="1664" t="s">
        <v>3966</v>
      </c>
      <c r="B150" s="1663" t="s">
        <v>4037</v>
      </c>
      <c r="C150" s="1620">
        <v>0</v>
      </c>
      <c r="D150" s="1620">
        <v>160</v>
      </c>
      <c r="E150" s="1620">
        <v>5</v>
      </c>
      <c r="F150" s="1620">
        <v>40</v>
      </c>
      <c r="G150" s="1620">
        <v>5</v>
      </c>
      <c r="H150" s="1620">
        <v>200</v>
      </c>
    </row>
    <row r="151" spans="1:8" ht="15.95" customHeight="1">
      <c r="A151" s="1664" t="s">
        <v>4035</v>
      </c>
      <c r="B151" s="1665" t="s">
        <v>4038</v>
      </c>
      <c r="C151" s="1620">
        <v>0</v>
      </c>
      <c r="D151" s="1620">
        <v>160</v>
      </c>
      <c r="E151" s="1620">
        <v>5</v>
      </c>
      <c r="F151" s="1620">
        <v>40</v>
      </c>
      <c r="G151" s="1620">
        <v>5</v>
      </c>
      <c r="H151" s="1620">
        <v>200</v>
      </c>
    </row>
    <row r="152" spans="1:8" s="1069" customFormat="1" ht="14.1" customHeight="1">
      <c r="A152" s="1664" t="s">
        <v>4036</v>
      </c>
      <c r="B152" s="1663" t="s">
        <v>3965</v>
      </c>
      <c r="C152" s="1620">
        <v>0</v>
      </c>
      <c r="D152" s="1620">
        <v>160</v>
      </c>
      <c r="E152" s="1620">
        <v>5</v>
      </c>
      <c r="F152" s="1620">
        <v>40</v>
      </c>
      <c r="G152" s="1620">
        <v>5</v>
      </c>
      <c r="H152" s="1620">
        <v>200</v>
      </c>
    </row>
    <row r="153" spans="1:8" s="1069" customFormat="1" ht="14.1" customHeight="1">
      <c r="A153" s="1664" t="s">
        <v>3964</v>
      </c>
      <c r="B153" s="1663" t="s">
        <v>4039</v>
      </c>
      <c r="C153" s="1620">
        <v>0</v>
      </c>
      <c r="D153" s="1620">
        <v>160</v>
      </c>
      <c r="E153" s="1620">
        <v>14</v>
      </c>
      <c r="F153" s="1620">
        <v>40</v>
      </c>
      <c r="G153" s="1620">
        <v>14</v>
      </c>
      <c r="H153" s="1620">
        <v>200</v>
      </c>
    </row>
    <row r="154" spans="1:8" s="1069" customFormat="1" ht="14.1" customHeight="1">
      <c r="A154" s="1664" t="s">
        <v>4040</v>
      </c>
      <c r="B154" s="1663" t="s">
        <v>4041</v>
      </c>
      <c r="C154" s="1620">
        <v>0</v>
      </c>
      <c r="D154" s="1620">
        <v>160</v>
      </c>
      <c r="E154" s="1620">
        <v>14</v>
      </c>
      <c r="F154" s="1620">
        <v>40</v>
      </c>
      <c r="G154" s="1620">
        <v>14</v>
      </c>
      <c r="H154" s="1620">
        <v>200</v>
      </c>
    </row>
    <row r="155" spans="1:8" s="1069" customFormat="1" ht="14.1" customHeight="1">
      <c r="A155" s="1664" t="s">
        <v>4042</v>
      </c>
      <c r="B155" s="1663" t="s">
        <v>4043</v>
      </c>
      <c r="C155" s="1620">
        <v>0</v>
      </c>
      <c r="D155" s="1620">
        <v>160</v>
      </c>
      <c r="E155" s="1620">
        <v>14</v>
      </c>
      <c r="F155" s="1620">
        <v>40</v>
      </c>
      <c r="G155" s="1620">
        <v>14</v>
      </c>
      <c r="H155" s="1620">
        <v>200</v>
      </c>
    </row>
    <row r="156" spans="1:8" s="1069" customFormat="1" ht="14.1" customHeight="1">
      <c r="A156" s="1664" t="s">
        <v>3963</v>
      </c>
      <c r="B156" s="1663" t="s">
        <v>3962</v>
      </c>
      <c r="C156" s="1620">
        <v>0</v>
      </c>
      <c r="D156" s="1620">
        <v>40</v>
      </c>
      <c r="E156" s="1620">
        <v>0</v>
      </c>
      <c r="F156" s="1620">
        <v>10</v>
      </c>
      <c r="G156" s="1620">
        <v>0</v>
      </c>
      <c r="H156" s="1620">
        <v>50</v>
      </c>
    </row>
    <row r="157" spans="1:8" s="1069" customFormat="1" ht="14.1" customHeight="1">
      <c r="A157" s="1664" t="s">
        <v>3961</v>
      </c>
      <c r="B157" s="1663" t="s">
        <v>4044</v>
      </c>
      <c r="C157" s="1620">
        <v>0</v>
      </c>
      <c r="D157" s="1620">
        <v>40</v>
      </c>
      <c r="E157" s="1620">
        <v>1</v>
      </c>
      <c r="F157" s="1620">
        <v>10</v>
      </c>
      <c r="G157" s="1620">
        <v>1</v>
      </c>
      <c r="H157" s="1620">
        <v>50</v>
      </c>
    </row>
    <row r="158" spans="1:8" s="1069" customFormat="1" ht="14.1" customHeight="1">
      <c r="A158" s="1620" t="s">
        <v>3960</v>
      </c>
      <c r="B158" s="1663" t="s">
        <v>4045</v>
      </c>
      <c r="C158" s="1620">
        <v>0</v>
      </c>
      <c r="D158" s="1620">
        <v>16</v>
      </c>
      <c r="E158" s="1620">
        <v>0</v>
      </c>
      <c r="F158" s="1620">
        <v>4</v>
      </c>
      <c r="G158" s="1620">
        <v>0</v>
      </c>
      <c r="H158" s="1620">
        <v>20</v>
      </c>
    </row>
    <row r="159" spans="1:8" s="1069" customFormat="1" ht="14.1" customHeight="1">
      <c r="A159" s="1666" t="s">
        <v>4183</v>
      </c>
      <c r="B159" s="1644" t="s">
        <v>4184</v>
      </c>
      <c r="C159" s="1667">
        <v>0</v>
      </c>
      <c r="D159" s="1667">
        <v>0</v>
      </c>
      <c r="E159" s="1667">
        <v>0</v>
      </c>
      <c r="F159" s="1667">
        <v>1</v>
      </c>
      <c r="G159" s="1667">
        <v>0</v>
      </c>
      <c r="H159" s="1667">
        <v>1</v>
      </c>
    </row>
    <row r="160" spans="1:8" s="1069" customFormat="1" ht="14.1" customHeight="1">
      <c r="A160" s="1666" t="s">
        <v>4185</v>
      </c>
      <c r="B160" s="1644" t="s">
        <v>4186</v>
      </c>
      <c r="C160" s="1667">
        <v>0</v>
      </c>
      <c r="D160" s="1667">
        <v>40</v>
      </c>
      <c r="E160" s="1667">
        <v>0</v>
      </c>
      <c r="F160" s="1667">
        <v>10</v>
      </c>
      <c r="G160" s="1667">
        <v>0</v>
      </c>
      <c r="H160" s="1667">
        <v>50</v>
      </c>
    </row>
    <row r="161" spans="1:9" ht="14.1" customHeight="1">
      <c r="A161" s="1666" t="s">
        <v>4187</v>
      </c>
      <c r="B161" s="1644" t="s">
        <v>4188</v>
      </c>
      <c r="C161" s="1667">
        <v>0</v>
      </c>
      <c r="D161" s="1667">
        <v>80</v>
      </c>
      <c r="E161" s="1667">
        <v>0</v>
      </c>
      <c r="F161" s="1667">
        <v>20</v>
      </c>
      <c r="G161" s="1667">
        <v>0</v>
      </c>
      <c r="H161" s="1667">
        <v>100</v>
      </c>
    </row>
    <row r="162" spans="1:9" s="1069" customFormat="1" ht="14.1" customHeight="1">
      <c r="A162" s="1666" t="s">
        <v>4189</v>
      </c>
      <c r="B162" s="1644" t="s">
        <v>4190</v>
      </c>
      <c r="C162" s="1668">
        <v>0</v>
      </c>
      <c r="D162" s="1668">
        <v>0</v>
      </c>
      <c r="E162" s="1668">
        <v>0</v>
      </c>
      <c r="F162" s="1668">
        <v>1</v>
      </c>
      <c r="G162" s="1668">
        <v>0</v>
      </c>
      <c r="H162" s="1668">
        <v>1</v>
      </c>
    </row>
    <row r="163" spans="1:9" s="1069" customFormat="1" ht="14.1" customHeight="1">
      <c r="A163" s="1620" t="s">
        <v>4191</v>
      </c>
      <c r="B163" s="1663" t="s">
        <v>4192</v>
      </c>
      <c r="C163" s="1668">
        <v>0</v>
      </c>
      <c r="D163" s="1668">
        <v>0</v>
      </c>
      <c r="E163" s="1668">
        <v>0</v>
      </c>
      <c r="F163" s="1668">
        <v>1</v>
      </c>
      <c r="G163" s="1668">
        <v>0</v>
      </c>
      <c r="H163" s="1668">
        <v>1</v>
      </c>
    </row>
    <row r="164" spans="1:9" s="1069" customFormat="1" ht="14.1" customHeight="1">
      <c r="A164" s="1620">
        <v>56625003</v>
      </c>
      <c r="B164" s="1663" t="s">
        <v>4193</v>
      </c>
      <c r="C164" s="1668">
        <v>0</v>
      </c>
      <c r="D164" s="1668">
        <v>0</v>
      </c>
      <c r="E164" s="1668">
        <v>0</v>
      </c>
      <c r="F164" s="1668">
        <v>1</v>
      </c>
      <c r="G164" s="1668">
        <v>0</v>
      </c>
      <c r="H164" s="1668">
        <v>1</v>
      </c>
    </row>
    <row r="165" spans="1:9" s="1069" customFormat="1" ht="14.1" customHeight="1">
      <c r="A165" s="1620">
        <v>56401003</v>
      </c>
      <c r="B165" s="1663" t="s">
        <v>4194</v>
      </c>
      <c r="C165" s="1668">
        <v>0</v>
      </c>
      <c r="D165" s="1668">
        <v>7</v>
      </c>
      <c r="E165" s="1668">
        <v>0</v>
      </c>
      <c r="F165" s="1668">
        <v>3</v>
      </c>
      <c r="G165" s="1668">
        <v>0</v>
      </c>
      <c r="H165" s="1668">
        <v>10</v>
      </c>
    </row>
    <row r="166" spans="1:9" s="1069" customFormat="1" ht="14.1" customHeight="1">
      <c r="A166" s="1620" t="s">
        <v>4195</v>
      </c>
      <c r="B166" s="1663" t="s">
        <v>4196</v>
      </c>
      <c r="C166" s="1668">
        <v>0</v>
      </c>
      <c r="D166" s="1668">
        <v>4</v>
      </c>
      <c r="E166" s="1668">
        <v>0</v>
      </c>
      <c r="F166" s="1668">
        <v>1</v>
      </c>
      <c r="G166" s="1668">
        <v>0</v>
      </c>
      <c r="H166" s="1668">
        <v>5</v>
      </c>
    </row>
    <row r="167" spans="1:9" s="1069" customFormat="1" ht="14.1" customHeight="1">
      <c r="A167" s="1620" t="s">
        <v>4197</v>
      </c>
      <c r="B167" s="1663" t="s">
        <v>4198</v>
      </c>
      <c r="C167" s="1668">
        <v>0</v>
      </c>
      <c r="D167" s="1668">
        <v>7</v>
      </c>
      <c r="E167" s="1668">
        <v>0</v>
      </c>
      <c r="F167" s="1668">
        <v>3</v>
      </c>
      <c r="G167" s="1668">
        <v>0</v>
      </c>
      <c r="H167" s="1668">
        <v>10</v>
      </c>
      <c r="I167" s="1616"/>
    </row>
    <row r="168" spans="1:9" s="1069" customFormat="1" ht="14.1" customHeight="1">
      <c r="A168" s="1620" t="s">
        <v>4199</v>
      </c>
      <c r="B168" s="1663" t="s">
        <v>4200</v>
      </c>
      <c r="C168" s="1668">
        <v>0</v>
      </c>
      <c r="D168" s="1668">
        <v>7</v>
      </c>
      <c r="E168" s="1668">
        <v>0</v>
      </c>
      <c r="F168" s="1668">
        <v>3</v>
      </c>
      <c r="G168" s="1668">
        <v>0</v>
      </c>
      <c r="H168" s="1668">
        <v>10</v>
      </c>
      <c r="I168" s="1616"/>
    </row>
    <row r="169" spans="1:9" s="1069" customFormat="1" ht="14.1" customHeight="1">
      <c r="A169" s="1620" t="s">
        <v>4201</v>
      </c>
      <c r="B169" s="1663" t="s">
        <v>4202</v>
      </c>
      <c r="C169" s="1668">
        <v>0</v>
      </c>
      <c r="D169" s="1668">
        <v>7</v>
      </c>
      <c r="E169" s="1668">
        <v>0</v>
      </c>
      <c r="F169" s="1668">
        <v>3</v>
      </c>
      <c r="G169" s="1668">
        <v>0</v>
      </c>
      <c r="H169" s="1668">
        <v>10</v>
      </c>
      <c r="I169" s="1616"/>
    </row>
    <row r="170" spans="1:9" s="1069" customFormat="1" ht="14.1" customHeight="1">
      <c r="A170" s="1620" t="s">
        <v>4203</v>
      </c>
      <c r="B170" s="1663" t="s">
        <v>4204</v>
      </c>
      <c r="C170" s="1668">
        <v>0</v>
      </c>
      <c r="D170" s="1668">
        <v>7</v>
      </c>
      <c r="E170" s="1668">
        <v>0</v>
      </c>
      <c r="F170" s="1668">
        <v>3</v>
      </c>
      <c r="G170" s="1668">
        <v>0</v>
      </c>
      <c r="H170" s="1668">
        <v>10</v>
      </c>
      <c r="I170" s="1616"/>
    </row>
    <row r="171" spans="1:9" s="1069" customFormat="1" ht="14.1" customHeight="1">
      <c r="A171" s="1620" t="s">
        <v>4205</v>
      </c>
      <c r="B171" s="1663" t="s">
        <v>4206</v>
      </c>
      <c r="C171" s="1668">
        <v>0</v>
      </c>
      <c r="D171" s="1668">
        <v>7</v>
      </c>
      <c r="E171" s="1668">
        <v>0</v>
      </c>
      <c r="F171" s="1668">
        <v>3</v>
      </c>
      <c r="G171" s="1668">
        <v>0</v>
      </c>
      <c r="H171" s="1668">
        <v>10</v>
      </c>
      <c r="I171" s="1616"/>
    </row>
    <row r="172" spans="1:9" s="1069" customFormat="1" ht="14.1" customHeight="1">
      <c r="A172" s="1620" t="s">
        <v>4207</v>
      </c>
      <c r="B172" s="1663" t="s">
        <v>4208</v>
      </c>
      <c r="C172" s="1668">
        <v>0</v>
      </c>
      <c r="D172" s="1668">
        <v>7</v>
      </c>
      <c r="E172" s="1668">
        <v>0</v>
      </c>
      <c r="F172" s="1668">
        <v>3</v>
      </c>
      <c r="G172" s="1668">
        <v>0</v>
      </c>
      <c r="H172" s="1668">
        <v>10</v>
      </c>
      <c r="I172" s="1616"/>
    </row>
    <row r="173" spans="1:9" ht="14.1" customHeight="1">
      <c r="A173" s="1028"/>
      <c r="B173" s="1078"/>
      <c r="C173" s="1069"/>
      <c r="D173" s="1069"/>
      <c r="E173" s="1069"/>
      <c r="F173" s="1069"/>
      <c r="G173" s="1069"/>
      <c r="H173" s="1069"/>
    </row>
    <row r="174" spans="1:9" s="1069" customFormat="1" ht="14.1" customHeight="1">
      <c r="A174" s="1028"/>
      <c r="B174" s="1078"/>
      <c r="C174" s="1078"/>
      <c r="D174" s="1078"/>
      <c r="E174" s="1078"/>
      <c r="F174" s="1078"/>
      <c r="G174" s="1078"/>
      <c r="H174" s="1078"/>
    </row>
    <row r="175" spans="1:9" s="1069" customFormat="1" ht="14.1" customHeight="1">
      <c r="A175" s="1079" t="s">
        <v>320</v>
      </c>
      <c r="B175" s="1027"/>
      <c r="C175" s="1078"/>
      <c r="D175" s="1078"/>
      <c r="E175" s="1078"/>
      <c r="F175" s="1078"/>
      <c r="G175" s="1078"/>
      <c r="H175" s="1078"/>
    </row>
    <row r="176" spans="1:9" s="1069" customFormat="1" ht="14.1" customHeight="1">
      <c r="A176" s="1079" t="s">
        <v>238</v>
      </c>
      <c r="B176" s="1080"/>
      <c r="C176" s="1086"/>
      <c r="D176" s="1086"/>
      <c r="E176" s="1086"/>
      <c r="F176" s="1086"/>
      <c r="G176" s="1086"/>
      <c r="H176" s="1086"/>
    </row>
    <row r="177" spans="1:8" s="1069" customFormat="1" ht="14.1" customHeight="1">
      <c r="A177" s="1081" t="s">
        <v>239</v>
      </c>
      <c r="B177" s="1082"/>
      <c r="C177" s="1086"/>
      <c r="D177" s="1086"/>
      <c r="E177" s="1086"/>
      <c r="F177" s="1086"/>
      <c r="G177" s="1086"/>
      <c r="H177" s="1086"/>
    </row>
    <row r="178" spans="1:8" s="1069" customFormat="1" ht="14.1" customHeight="1">
      <c r="A178" s="1085"/>
      <c r="B178" s="1086"/>
      <c r="C178" s="1086"/>
      <c r="D178" s="1086"/>
      <c r="E178" s="1086"/>
      <c r="F178" s="1086"/>
      <c r="G178" s="1086"/>
      <c r="H178" s="1086"/>
    </row>
    <row r="179" spans="1:8" s="1069" customFormat="1" ht="14.1" customHeight="1" thickBot="1">
      <c r="A179" s="1083" t="s">
        <v>240</v>
      </c>
      <c r="B179" s="1084"/>
      <c r="C179" s="1029">
        <v>0</v>
      </c>
      <c r="D179" s="1029">
        <v>0</v>
      </c>
      <c r="E179" s="1029">
        <v>0</v>
      </c>
      <c r="F179" s="1029"/>
      <c r="G179" s="1029">
        <v>0</v>
      </c>
      <c r="H179" s="1029">
        <v>0</v>
      </c>
    </row>
    <row r="180" spans="1:8" s="1069" customFormat="1" ht="14.1" customHeight="1" thickBot="1">
      <c r="A180" s="1074" t="s">
        <v>241</v>
      </c>
      <c r="B180" s="1087"/>
      <c r="C180" s="1061">
        <f t="shared" ref="C180:F181" si="0">C9+C121+C140+C144</f>
        <v>23094</v>
      </c>
      <c r="D180" s="1061">
        <f t="shared" si="0"/>
        <v>9212</v>
      </c>
      <c r="E180" s="1061">
        <f t="shared" si="0"/>
        <v>2781</v>
      </c>
      <c r="F180" s="1061">
        <f t="shared" si="0"/>
        <v>1770</v>
      </c>
      <c r="G180" s="1061">
        <f>C180+E180</f>
        <v>25875</v>
      </c>
      <c r="H180" s="1061">
        <f>D180+F180</f>
        <v>10982</v>
      </c>
    </row>
    <row r="181" spans="1:8" s="1069" customFormat="1" ht="14.1" customHeight="1" thickBot="1">
      <c r="A181" s="1074" t="s">
        <v>242</v>
      </c>
      <c r="B181" s="1087"/>
      <c r="C181" s="1061">
        <f t="shared" si="0"/>
        <v>24159</v>
      </c>
      <c r="D181" s="1061">
        <f t="shared" si="0"/>
        <v>25785</v>
      </c>
      <c r="E181" s="1061">
        <f t="shared" si="0"/>
        <v>3185</v>
      </c>
      <c r="F181" s="1061">
        <f t="shared" si="0"/>
        <v>3666</v>
      </c>
      <c r="G181" s="1061">
        <f>C181+E181</f>
        <v>27344</v>
      </c>
      <c r="H181" s="1061">
        <f>D181+F181</f>
        <v>29451</v>
      </c>
    </row>
    <row r="182" spans="1:8" ht="14.1" customHeight="1">
      <c r="A182" s="1075" t="s">
        <v>172</v>
      </c>
      <c r="B182" s="1075"/>
      <c r="C182" s="1075"/>
      <c r="D182" s="1075"/>
      <c r="E182" s="1075"/>
      <c r="F182" s="1075"/>
      <c r="G182" s="1075"/>
      <c r="H182" s="1075"/>
    </row>
    <row r="183" spans="1:8" s="1069" customFormat="1" ht="14.1" customHeight="1">
      <c r="A183" s="1892" t="s">
        <v>173</v>
      </c>
      <c r="B183" s="1892"/>
      <c r="C183" s="1892"/>
      <c r="D183" s="1892"/>
      <c r="E183" s="1892"/>
      <c r="F183" s="1892"/>
      <c r="G183" s="1892"/>
      <c r="H183" s="1892"/>
    </row>
    <row r="184" spans="1:8" s="1069" customFormat="1" ht="14.1" customHeight="1">
      <c r="A184" s="1071"/>
      <c r="B184" s="1058"/>
      <c r="C184" s="1058"/>
      <c r="D184" s="1058"/>
      <c r="E184" s="1058"/>
      <c r="F184" s="1058"/>
      <c r="G184" s="1058"/>
      <c r="H184" s="1058"/>
    </row>
    <row r="185" spans="1:8" s="1069" customFormat="1" ht="14.1" customHeight="1">
      <c r="A185" s="1054"/>
      <c r="B185" s="1059"/>
      <c r="C185" s="1058"/>
      <c r="D185" s="1058"/>
      <c r="E185" s="1058"/>
      <c r="F185" s="1058"/>
      <c r="G185" s="1058"/>
      <c r="H185" s="1058"/>
    </row>
    <row r="186" spans="1:8" s="1069" customFormat="1" ht="14.1" customHeight="1">
      <c r="A186" s="1072"/>
      <c r="B186" s="1073"/>
      <c r="C186" s="1058"/>
      <c r="D186" s="1058"/>
      <c r="E186" s="1058"/>
      <c r="F186" s="1058"/>
      <c r="G186" s="1058"/>
      <c r="H186" s="1058"/>
    </row>
    <row r="187" spans="1:8" s="1069" customFormat="1" ht="14.1" customHeight="1">
      <c r="A187" s="1892"/>
      <c r="B187" s="1892"/>
      <c r="C187" s="1892"/>
      <c r="D187" s="1892"/>
      <c r="E187" s="1892"/>
      <c r="F187" s="1892"/>
      <c r="G187" s="1892"/>
      <c r="H187" s="1892"/>
    </row>
    <row r="188" spans="1:8" s="1069" customFormat="1" ht="14.1" customHeight="1">
      <c r="A188" s="1064"/>
      <c r="B188" s="1064"/>
      <c r="C188" s="1064"/>
      <c r="D188" s="1064"/>
      <c r="E188" s="1064"/>
      <c r="F188" s="1064"/>
      <c r="G188" s="1064"/>
      <c r="H188" s="1064"/>
    </row>
    <row r="189" spans="1:8" s="1069" customFormat="1" ht="14.1" customHeight="1">
      <c r="A189" s="1064"/>
      <c r="B189" s="1064"/>
      <c r="C189" s="1064"/>
      <c r="D189" s="1064"/>
      <c r="E189" s="1064"/>
      <c r="F189" s="1064"/>
      <c r="G189" s="1064"/>
      <c r="H189" s="1064"/>
    </row>
    <row r="190" spans="1:8" s="1069" customFormat="1" ht="14.1" customHeight="1">
      <c r="A190" s="1064"/>
      <c r="B190" s="1064"/>
      <c r="C190" s="1064"/>
      <c r="D190" s="1064"/>
      <c r="E190" s="1064"/>
      <c r="F190" s="1064"/>
      <c r="G190" s="1064"/>
      <c r="H190" s="1064"/>
    </row>
    <row r="191" spans="1:8" s="1069" customFormat="1" ht="14.1" customHeight="1">
      <c r="A191" s="1064"/>
      <c r="B191" s="1064"/>
      <c r="C191" s="1064"/>
      <c r="D191" s="1064"/>
      <c r="E191" s="1064"/>
      <c r="F191" s="1064"/>
      <c r="G191" s="1064"/>
      <c r="H191" s="1064"/>
    </row>
    <row r="192" spans="1:8" s="1069" customFormat="1" ht="14.1" customHeight="1">
      <c r="A192" s="1064"/>
      <c r="B192" s="1064"/>
      <c r="C192" s="1064"/>
      <c r="D192" s="1064"/>
      <c r="E192" s="1064"/>
      <c r="F192" s="1064"/>
      <c r="G192" s="1064"/>
      <c r="H192" s="1064"/>
    </row>
    <row r="193" spans="1:8" s="1069" customFormat="1" ht="14.1" customHeight="1">
      <c r="A193" s="1064"/>
      <c r="B193" s="1064"/>
      <c r="C193" s="1064"/>
      <c r="D193" s="1064"/>
      <c r="E193" s="1064"/>
      <c r="F193" s="1064"/>
      <c r="G193" s="1064"/>
      <c r="H193" s="1064"/>
    </row>
    <row r="194" spans="1:8" s="1069" customFormat="1" ht="14.1" customHeight="1">
      <c r="A194" s="1064"/>
      <c r="B194" s="1064"/>
      <c r="C194" s="1064"/>
      <c r="D194" s="1064"/>
      <c r="E194" s="1064"/>
      <c r="F194" s="1064"/>
      <c r="G194" s="1064"/>
      <c r="H194" s="1064"/>
    </row>
    <row r="195" spans="1:8" s="1069" customFormat="1" ht="14.1" customHeight="1">
      <c r="A195" s="1064"/>
      <c r="B195" s="1064"/>
      <c r="C195" s="1064"/>
      <c r="D195" s="1064"/>
      <c r="E195" s="1064"/>
      <c r="F195" s="1064"/>
      <c r="G195" s="1064"/>
      <c r="H195" s="1064"/>
    </row>
    <row r="196" spans="1:8" s="1069" customFormat="1" ht="14.1" customHeight="1">
      <c r="A196" s="1064"/>
      <c r="B196" s="1064"/>
      <c r="C196" s="1064"/>
      <c r="D196" s="1064"/>
      <c r="E196" s="1064"/>
      <c r="F196" s="1064"/>
      <c r="G196" s="1064"/>
      <c r="H196" s="1064"/>
    </row>
    <row r="197" spans="1:8" s="1069" customFormat="1" ht="14.1" customHeight="1">
      <c r="A197" s="1064"/>
      <c r="B197" s="1064"/>
      <c r="C197" s="1064"/>
      <c r="D197" s="1064"/>
      <c r="E197" s="1064"/>
      <c r="F197" s="1064"/>
      <c r="G197" s="1064"/>
      <c r="H197" s="1064"/>
    </row>
    <row r="198" spans="1:8" s="1069" customFormat="1" ht="14.1" customHeight="1">
      <c r="A198" s="1064"/>
      <c r="B198" s="1064"/>
      <c r="C198" s="1064"/>
      <c r="D198" s="1064"/>
      <c r="E198" s="1064"/>
      <c r="F198" s="1064"/>
      <c r="G198" s="1064"/>
      <c r="H198" s="1064"/>
    </row>
    <row r="199" spans="1:8" s="1069" customFormat="1" ht="14.1" customHeight="1">
      <c r="A199" s="1064"/>
      <c r="B199" s="1064"/>
      <c r="C199" s="1064"/>
      <c r="D199" s="1064"/>
      <c r="E199" s="1064"/>
      <c r="F199" s="1064"/>
      <c r="G199" s="1064"/>
      <c r="H199" s="1064"/>
    </row>
    <row r="200" spans="1:8" s="1069" customFormat="1" ht="14.1" customHeight="1">
      <c r="A200" s="1064"/>
      <c r="B200" s="1064"/>
      <c r="C200" s="1064"/>
      <c r="D200" s="1064"/>
      <c r="E200" s="1064"/>
      <c r="F200" s="1064"/>
      <c r="G200" s="1064"/>
      <c r="H200" s="1064"/>
    </row>
    <row r="201" spans="1:8" s="1069" customFormat="1" ht="14.1" customHeight="1">
      <c r="A201" s="1064"/>
      <c r="B201" s="1064"/>
      <c r="C201" s="1064"/>
      <c r="D201" s="1064"/>
      <c r="E201" s="1064"/>
      <c r="F201" s="1064"/>
      <c r="G201" s="1064"/>
      <c r="H201" s="1064"/>
    </row>
    <row r="202" spans="1:8" s="1069" customFormat="1" ht="14.1" customHeight="1">
      <c r="A202" s="1064"/>
      <c r="B202" s="1064"/>
      <c r="C202" s="1064"/>
      <c r="D202" s="1064"/>
      <c r="E202" s="1064"/>
      <c r="F202" s="1064"/>
      <c r="G202" s="1064"/>
      <c r="H202" s="1064"/>
    </row>
    <row r="203" spans="1:8" s="1069" customFormat="1" ht="14.1" customHeight="1">
      <c r="A203" s="1064"/>
      <c r="B203" s="1064"/>
      <c r="C203" s="1064"/>
      <c r="D203" s="1064"/>
      <c r="E203" s="1064"/>
      <c r="F203" s="1064"/>
      <c r="G203" s="1064"/>
      <c r="H203" s="1064"/>
    </row>
    <row r="204" spans="1:8" s="1069" customFormat="1" ht="14.1" customHeight="1">
      <c r="A204" s="1064"/>
      <c r="B204" s="1064"/>
      <c r="C204" s="1064"/>
      <c r="D204" s="1064"/>
      <c r="E204" s="1064"/>
      <c r="F204" s="1064"/>
      <c r="G204" s="1064"/>
      <c r="H204" s="1064"/>
    </row>
    <row r="205" spans="1:8" s="1069" customFormat="1" ht="14.1" customHeight="1">
      <c r="A205" s="1064"/>
      <c r="B205" s="1064"/>
      <c r="C205" s="1064"/>
      <c r="D205" s="1064"/>
      <c r="E205" s="1064"/>
      <c r="F205" s="1064"/>
      <c r="G205" s="1064"/>
      <c r="H205" s="1064"/>
    </row>
    <row r="206" spans="1:8" s="1069" customFormat="1" ht="14.1" customHeight="1">
      <c r="A206" s="1064"/>
      <c r="B206" s="1064"/>
      <c r="C206" s="1064"/>
      <c r="D206" s="1064"/>
      <c r="E206" s="1064"/>
      <c r="F206" s="1064"/>
      <c r="G206" s="1064"/>
      <c r="H206" s="1064"/>
    </row>
    <row r="207" spans="1:8" s="1069" customFormat="1" ht="14.1" customHeight="1">
      <c r="A207" s="1064"/>
      <c r="B207" s="1064"/>
      <c r="C207" s="1064"/>
      <c r="D207" s="1064"/>
      <c r="E207" s="1064"/>
      <c r="F207" s="1064"/>
      <c r="G207" s="1064"/>
      <c r="H207" s="1064"/>
    </row>
    <row r="208" spans="1:8" s="1069" customFormat="1" ht="14.1" customHeight="1">
      <c r="A208" s="1064"/>
      <c r="B208" s="1064"/>
      <c r="C208" s="1064"/>
      <c r="D208" s="1064"/>
      <c r="E208" s="1064"/>
      <c r="F208" s="1064"/>
      <c r="G208" s="1064"/>
      <c r="H208" s="1064"/>
    </row>
    <row r="209" spans="1:9" s="1069" customFormat="1" ht="14.1" customHeight="1">
      <c r="A209" s="1064"/>
      <c r="B209" s="1064"/>
      <c r="C209" s="1064"/>
      <c r="D209" s="1064"/>
      <c r="E209" s="1064"/>
      <c r="F209" s="1064"/>
      <c r="G209" s="1064"/>
      <c r="H209" s="1064"/>
    </row>
    <row r="210" spans="1:9" s="1069" customFormat="1" ht="14.1" customHeight="1">
      <c r="A210" s="1064"/>
      <c r="B210" s="1064"/>
      <c r="C210" s="1064"/>
      <c r="D210" s="1064"/>
      <c r="E210" s="1064"/>
      <c r="F210" s="1064"/>
      <c r="G210" s="1064"/>
      <c r="H210" s="1064"/>
    </row>
    <row r="211" spans="1:9" s="1069" customFormat="1" ht="14.1" customHeight="1">
      <c r="A211" s="1064"/>
      <c r="B211" s="1064"/>
      <c r="C211" s="1064"/>
      <c r="D211" s="1064"/>
      <c r="E211" s="1064"/>
      <c r="F211" s="1064"/>
      <c r="G211" s="1064"/>
      <c r="H211" s="1064"/>
    </row>
    <row r="212" spans="1:9" s="1069" customFormat="1" ht="14.1" customHeight="1">
      <c r="A212" s="1064"/>
      <c r="B212" s="1064"/>
      <c r="C212" s="1064"/>
      <c r="D212" s="1064"/>
      <c r="E212" s="1064"/>
      <c r="F212" s="1064"/>
      <c r="G212" s="1064"/>
      <c r="H212" s="1064"/>
    </row>
    <row r="213" spans="1:9" s="1069" customFormat="1" ht="14.1" customHeight="1">
      <c r="A213" s="1064"/>
      <c r="B213" s="1064"/>
      <c r="C213" s="1064"/>
      <c r="D213" s="1064"/>
      <c r="E213" s="1064"/>
      <c r="F213" s="1064"/>
      <c r="G213" s="1064"/>
      <c r="H213" s="1064"/>
    </row>
    <row r="214" spans="1:9" s="1069" customFormat="1" ht="14.1" customHeight="1">
      <c r="A214" s="1064"/>
      <c r="B214" s="1064"/>
      <c r="C214" s="1064"/>
      <c r="D214" s="1064"/>
      <c r="E214" s="1064"/>
      <c r="F214" s="1064"/>
      <c r="G214" s="1064"/>
      <c r="H214" s="1064"/>
    </row>
    <row r="215" spans="1:9" s="1069" customFormat="1" ht="14.1" customHeight="1">
      <c r="A215" s="1064"/>
      <c r="B215" s="1064"/>
      <c r="C215" s="1064"/>
      <c r="D215" s="1064"/>
      <c r="E215" s="1064"/>
      <c r="F215" s="1064"/>
      <c r="G215" s="1064"/>
      <c r="H215" s="1064"/>
    </row>
    <row r="216" spans="1:9">
      <c r="I216" s="1055"/>
    </row>
    <row r="217" spans="1:9" ht="19.5" customHeight="1">
      <c r="I217" s="1055"/>
    </row>
    <row r="218" spans="1:9" s="1069" customFormat="1" ht="14.1" customHeight="1">
      <c r="A218" s="1064"/>
      <c r="B218" s="1064"/>
      <c r="C218" s="1064"/>
      <c r="D218" s="1064"/>
      <c r="E218" s="1064"/>
      <c r="F218" s="1064"/>
      <c r="G218" s="1064"/>
      <c r="H218" s="1064"/>
    </row>
    <row r="219" spans="1:9" s="1069" customFormat="1" ht="14.1" customHeight="1">
      <c r="A219" s="1064"/>
      <c r="B219" s="1064"/>
      <c r="C219" s="1064"/>
      <c r="D219" s="1064"/>
      <c r="E219" s="1064"/>
      <c r="F219" s="1064"/>
      <c r="G219" s="1064"/>
      <c r="H219" s="1064"/>
    </row>
    <row r="220" spans="1:9" s="1069" customFormat="1" ht="14.1" customHeight="1">
      <c r="A220" s="1064"/>
      <c r="B220" s="1064"/>
      <c r="C220" s="1064"/>
      <c r="D220" s="1064"/>
      <c r="E220" s="1064"/>
      <c r="F220" s="1064"/>
      <c r="G220" s="1064"/>
      <c r="H220" s="1064"/>
    </row>
    <row r="221" spans="1:9" ht="19.5" customHeight="1">
      <c r="I221" s="1055"/>
    </row>
    <row r="222" spans="1:9" ht="15.95" customHeight="1"/>
    <row r="223" spans="1:9" ht="15.95" customHeight="1"/>
    <row r="224" spans="1:9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</sheetData>
  <mergeCells count="7">
    <mergeCell ref="A183:H183"/>
    <mergeCell ref="A187:H187"/>
    <mergeCell ref="A6:A7"/>
    <mergeCell ref="B6:B7"/>
    <mergeCell ref="C6:D6"/>
    <mergeCell ref="E6:F6"/>
    <mergeCell ref="G6:H6"/>
  </mergeCells>
  <printOptions horizontalCentered="1"/>
  <pageMargins left="0.23611111111111099" right="0.23611111111111099" top="0.35416666666666702" bottom="0.35416666666666702" header="0.51180555555555496" footer="0.51180555555555496"/>
  <pageSetup paperSize="9" scale="94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view="pageBreakPreview" topLeftCell="A67" zoomScale="115" zoomScaleSheetLayoutView="115" workbookViewId="0">
      <selection activeCell="A11" sqref="A11:B97"/>
    </sheetView>
  </sheetViews>
  <sheetFormatPr defaultRowHeight="12.75"/>
  <cols>
    <col min="1" max="1" width="9.85546875" style="120" customWidth="1"/>
    <col min="2" max="2" width="36.42578125" style="120" customWidth="1"/>
    <col min="3" max="3" width="10" style="120" customWidth="1"/>
    <col min="4" max="4" width="9.7109375" style="916" customWidth="1"/>
    <col min="5" max="5" width="8" style="916" customWidth="1"/>
    <col min="6" max="6" width="9.7109375" style="916" customWidth="1"/>
    <col min="7" max="7" width="7.85546875" style="120" customWidth="1"/>
    <col min="8" max="8" width="7.5703125" style="120" customWidth="1"/>
    <col min="9" max="256" width="9.140625" style="120"/>
    <col min="257" max="257" width="8.140625" style="120" customWidth="1"/>
    <col min="258" max="258" width="35.85546875" style="120" customWidth="1"/>
    <col min="259" max="259" width="8.42578125" style="120" customWidth="1"/>
    <col min="260" max="260" width="9.7109375" style="120" customWidth="1"/>
    <col min="261" max="261" width="6.5703125" style="120" customWidth="1"/>
    <col min="262" max="262" width="9.7109375" style="120" customWidth="1"/>
    <col min="263" max="263" width="7.42578125" style="120" customWidth="1"/>
    <col min="264" max="264" width="7.5703125" style="120" customWidth="1"/>
    <col min="265" max="512" width="9.140625" style="120"/>
    <col min="513" max="513" width="8.140625" style="120" customWidth="1"/>
    <col min="514" max="514" width="35.85546875" style="120" customWidth="1"/>
    <col min="515" max="515" width="8.42578125" style="120" customWidth="1"/>
    <col min="516" max="516" width="9.7109375" style="120" customWidth="1"/>
    <col min="517" max="517" width="6.5703125" style="120" customWidth="1"/>
    <col min="518" max="518" width="9.7109375" style="120" customWidth="1"/>
    <col min="519" max="519" width="7.42578125" style="120" customWidth="1"/>
    <col min="520" max="520" width="7.5703125" style="120" customWidth="1"/>
    <col min="521" max="768" width="9.140625" style="120"/>
    <col min="769" max="769" width="8.140625" style="120" customWidth="1"/>
    <col min="770" max="770" width="35.85546875" style="120" customWidth="1"/>
    <col min="771" max="771" width="8.42578125" style="120" customWidth="1"/>
    <col min="772" max="772" width="9.7109375" style="120" customWidth="1"/>
    <col min="773" max="773" width="6.5703125" style="120" customWidth="1"/>
    <col min="774" max="774" width="9.7109375" style="120" customWidth="1"/>
    <col min="775" max="775" width="7.42578125" style="120" customWidth="1"/>
    <col min="776" max="776" width="7.5703125" style="120" customWidth="1"/>
    <col min="777" max="1024" width="9.140625" style="120"/>
    <col min="1025" max="1025" width="8.140625" style="120" customWidth="1"/>
    <col min="1026" max="1026" width="35.85546875" style="120" customWidth="1"/>
    <col min="1027" max="1027" width="8.42578125" style="120" customWidth="1"/>
    <col min="1028" max="1028" width="9.7109375" style="120" customWidth="1"/>
    <col min="1029" max="1029" width="6.5703125" style="120" customWidth="1"/>
    <col min="1030" max="1030" width="9.7109375" style="120" customWidth="1"/>
    <col min="1031" max="1031" width="7.42578125" style="120" customWidth="1"/>
    <col min="1032" max="1032" width="7.5703125" style="120" customWidth="1"/>
    <col min="1033" max="1280" width="9.140625" style="120"/>
    <col min="1281" max="1281" width="8.140625" style="120" customWidth="1"/>
    <col min="1282" max="1282" width="35.85546875" style="120" customWidth="1"/>
    <col min="1283" max="1283" width="8.42578125" style="120" customWidth="1"/>
    <col min="1284" max="1284" width="9.7109375" style="120" customWidth="1"/>
    <col min="1285" max="1285" width="6.5703125" style="120" customWidth="1"/>
    <col min="1286" max="1286" width="9.7109375" style="120" customWidth="1"/>
    <col min="1287" max="1287" width="7.42578125" style="120" customWidth="1"/>
    <col min="1288" max="1288" width="7.5703125" style="120" customWidth="1"/>
    <col min="1289" max="1536" width="9.140625" style="120"/>
    <col min="1537" max="1537" width="8.140625" style="120" customWidth="1"/>
    <col min="1538" max="1538" width="35.85546875" style="120" customWidth="1"/>
    <col min="1539" max="1539" width="8.42578125" style="120" customWidth="1"/>
    <col min="1540" max="1540" width="9.7109375" style="120" customWidth="1"/>
    <col min="1541" max="1541" width="6.5703125" style="120" customWidth="1"/>
    <col min="1542" max="1542" width="9.7109375" style="120" customWidth="1"/>
    <col min="1543" max="1543" width="7.42578125" style="120" customWidth="1"/>
    <col min="1544" max="1544" width="7.5703125" style="120" customWidth="1"/>
    <col min="1545" max="1792" width="9.140625" style="120"/>
    <col min="1793" max="1793" width="8.140625" style="120" customWidth="1"/>
    <col min="1794" max="1794" width="35.85546875" style="120" customWidth="1"/>
    <col min="1795" max="1795" width="8.42578125" style="120" customWidth="1"/>
    <col min="1796" max="1796" width="9.7109375" style="120" customWidth="1"/>
    <col min="1797" max="1797" width="6.5703125" style="120" customWidth="1"/>
    <col min="1798" max="1798" width="9.7109375" style="120" customWidth="1"/>
    <col min="1799" max="1799" width="7.42578125" style="120" customWidth="1"/>
    <col min="1800" max="1800" width="7.5703125" style="120" customWidth="1"/>
    <col min="1801" max="2048" width="9.140625" style="120"/>
    <col min="2049" max="2049" width="8.140625" style="120" customWidth="1"/>
    <col min="2050" max="2050" width="35.85546875" style="120" customWidth="1"/>
    <col min="2051" max="2051" width="8.42578125" style="120" customWidth="1"/>
    <col min="2052" max="2052" width="9.7109375" style="120" customWidth="1"/>
    <col min="2053" max="2053" width="6.5703125" style="120" customWidth="1"/>
    <col min="2054" max="2054" width="9.7109375" style="120" customWidth="1"/>
    <col min="2055" max="2055" width="7.42578125" style="120" customWidth="1"/>
    <col min="2056" max="2056" width="7.5703125" style="120" customWidth="1"/>
    <col min="2057" max="2304" width="9.140625" style="120"/>
    <col min="2305" max="2305" width="8.140625" style="120" customWidth="1"/>
    <col min="2306" max="2306" width="35.85546875" style="120" customWidth="1"/>
    <col min="2307" max="2307" width="8.42578125" style="120" customWidth="1"/>
    <col min="2308" max="2308" width="9.7109375" style="120" customWidth="1"/>
    <col min="2309" max="2309" width="6.5703125" style="120" customWidth="1"/>
    <col min="2310" max="2310" width="9.7109375" style="120" customWidth="1"/>
    <col min="2311" max="2311" width="7.42578125" style="120" customWidth="1"/>
    <col min="2312" max="2312" width="7.5703125" style="120" customWidth="1"/>
    <col min="2313" max="2560" width="9.140625" style="120"/>
    <col min="2561" max="2561" width="8.140625" style="120" customWidth="1"/>
    <col min="2562" max="2562" width="35.85546875" style="120" customWidth="1"/>
    <col min="2563" max="2563" width="8.42578125" style="120" customWidth="1"/>
    <col min="2564" max="2564" width="9.7109375" style="120" customWidth="1"/>
    <col min="2565" max="2565" width="6.5703125" style="120" customWidth="1"/>
    <col min="2566" max="2566" width="9.7109375" style="120" customWidth="1"/>
    <col min="2567" max="2567" width="7.42578125" style="120" customWidth="1"/>
    <col min="2568" max="2568" width="7.5703125" style="120" customWidth="1"/>
    <col min="2569" max="2816" width="9.140625" style="120"/>
    <col min="2817" max="2817" width="8.140625" style="120" customWidth="1"/>
    <col min="2818" max="2818" width="35.85546875" style="120" customWidth="1"/>
    <col min="2819" max="2819" width="8.42578125" style="120" customWidth="1"/>
    <col min="2820" max="2820" width="9.7109375" style="120" customWidth="1"/>
    <col min="2821" max="2821" width="6.5703125" style="120" customWidth="1"/>
    <col min="2822" max="2822" width="9.7109375" style="120" customWidth="1"/>
    <col min="2823" max="2823" width="7.42578125" style="120" customWidth="1"/>
    <col min="2824" max="2824" width="7.5703125" style="120" customWidth="1"/>
    <col min="2825" max="3072" width="9.140625" style="120"/>
    <col min="3073" max="3073" width="8.140625" style="120" customWidth="1"/>
    <col min="3074" max="3074" width="35.85546875" style="120" customWidth="1"/>
    <col min="3075" max="3075" width="8.42578125" style="120" customWidth="1"/>
    <col min="3076" max="3076" width="9.7109375" style="120" customWidth="1"/>
    <col min="3077" max="3077" width="6.5703125" style="120" customWidth="1"/>
    <col min="3078" max="3078" width="9.7109375" style="120" customWidth="1"/>
    <col min="3079" max="3079" width="7.42578125" style="120" customWidth="1"/>
    <col min="3080" max="3080" width="7.5703125" style="120" customWidth="1"/>
    <col min="3081" max="3328" width="9.140625" style="120"/>
    <col min="3329" max="3329" width="8.140625" style="120" customWidth="1"/>
    <col min="3330" max="3330" width="35.85546875" style="120" customWidth="1"/>
    <col min="3331" max="3331" width="8.42578125" style="120" customWidth="1"/>
    <col min="3332" max="3332" width="9.7109375" style="120" customWidth="1"/>
    <col min="3333" max="3333" width="6.5703125" style="120" customWidth="1"/>
    <col min="3334" max="3334" width="9.7109375" style="120" customWidth="1"/>
    <col min="3335" max="3335" width="7.42578125" style="120" customWidth="1"/>
    <col min="3336" max="3336" width="7.5703125" style="120" customWidth="1"/>
    <col min="3337" max="3584" width="9.140625" style="120"/>
    <col min="3585" max="3585" width="8.140625" style="120" customWidth="1"/>
    <col min="3586" max="3586" width="35.85546875" style="120" customWidth="1"/>
    <col min="3587" max="3587" width="8.42578125" style="120" customWidth="1"/>
    <col min="3588" max="3588" width="9.7109375" style="120" customWidth="1"/>
    <col min="3589" max="3589" width="6.5703125" style="120" customWidth="1"/>
    <col min="3590" max="3590" width="9.7109375" style="120" customWidth="1"/>
    <col min="3591" max="3591" width="7.42578125" style="120" customWidth="1"/>
    <col min="3592" max="3592" width="7.5703125" style="120" customWidth="1"/>
    <col min="3593" max="3840" width="9.140625" style="120"/>
    <col min="3841" max="3841" width="8.140625" style="120" customWidth="1"/>
    <col min="3842" max="3842" width="35.85546875" style="120" customWidth="1"/>
    <col min="3843" max="3843" width="8.42578125" style="120" customWidth="1"/>
    <col min="3844" max="3844" width="9.7109375" style="120" customWidth="1"/>
    <col min="3845" max="3845" width="6.5703125" style="120" customWidth="1"/>
    <col min="3846" max="3846" width="9.7109375" style="120" customWidth="1"/>
    <col min="3847" max="3847" width="7.42578125" style="120" customWidth="1"/>
    <col min="3848" max="3848" width="7.5703125" style="120" customWidth="1"/>
    <col min="3849" max="4096" width="9.140625" style="120"/>
    <col min="4097" max="4097" width="8.140625" style="120" customWidth="1"/>
    <col min="4098" max="4098" width="35.85546875" style="120" customWidth="1"/>
    <col min="4099" max="4099" width="8.42578125" style="120" customWidth="1"/>
    <col min="4100" max="4100" width="9.7109375" style="120" customWidth="1"/>
    <col min="4101" max="4101" width="6.5703125" style="120" customWidth="1"/>
    <col min="4102" max="4102" width="9.7109375" style="120" customWidth="1"/>
    <col min="4103" max="4103" width="7.42578125" style="120" customWidth="1"/>
    <col min="4104" max="4104" width="7.5703125" style="120" customWidth="1"/>
    <col min="4105" max="4352" width="9.140625" style="120"/>
    <col min="4353" max="4353" width="8.140625" style="120" customWidth="1"/>
    <col min="4354" max="4354" width="35.85546875" style="120" customWidth="1"/>
    <col min="4355" max="4355" width="8.42578125" style="120" customWidth="1"/>
    <col min="4356" max="4356" width="9.7109375" style="120" customWidth="1"/>
    <col min="4357" max="4357" width="6.5703125" style="120" customWidth="1"/>
    <col min="4358" max="4358" width="9.7109375" style="120" customWidth="1"/>
    <col min="4359" max="4359" width="7.42578125" style="120" customWidth="1"/>
    <col min="4360" max="4360" width="7.5703125" style="120" customWidth="1"/>
    <col min="4361" max="4608" width="9.140625" style="120"/>
    <col min="4609" max="4609" width="8.140625" style="120" customWidth="1"/>
    <col min="4610" max="4610" width="35.85546875" style="120" customWidth="1"/>
    <col min="4611" max="4611" width="8.42578125" style="120" customWidth="1"/>
    <col min="4612" max="4612" width="9.7109375" style="120" customWidth="1"/>
    <col min="4613" max="4613" width="6.5703125" style="120" customWidth="1"/>
    <col min="4614" max="4614" width="9.7109375" style="120" customWidth="1"/>
    <col min="4615" max="4615" width="7.42578125" style="120" customWidth="1"/>
    <col min="4616" max="4616" width="7.5703125" style="120" customWidth="1"/>
    <col min="4617" max="4864" width="9.140625" style="120"/>
    <col min="4865" max="4865" width="8.140625" style="120" customWidth="1"/>
    <col min="4866" max="4866" width="35.85546875" style="120" customWidth="1"/>
    <col min="4867" max="4867" width="8.42578125" style="120" customWidth="1"/>
    <col min="4868" max="4868" width="9.7109375" style="120" customWidth="1"/>
    <col min="4869" max="4869" width="6.5703125" style="120" customWidth="1"/>
    <col min="4870" max="4870" width="9.7109375" style="120" customWidth="1"/>
    <col min="4871" max="4871" width="7.42578125" style="120" customWidth="1"/>
    <col min="4872" max="4872" width="7.5703125" style="120" customWidth="1"/>
    <col min="4873" max="5120" width="9.140625" style="120"/>
    <col min="5121" max="5121" width="8.140625" style="120" customWidth="1"/>
    <col min="5122" max="5122" width="35.85546875" style="120" customWidth="1"/>
    <col min="5123" max="5123" width="8.42578125" style="120" customWidth="1"/>
    <col min="5124" max="5124" width="9.7109375" style="120" customWidth="1"/>
    <col min="5125" max="5125" width="6.5703125" style="120" customWidth="1"/>
    <col min="5126" max="5126" width="9.7109375" style="120" customWidth="1"/>
    <col min="5127" max="5127" width="7.42578125" style="120" customWidth="1"/>
    <col min="5128" max="5128" width="7.5703125" style="120" customWidth="1"/>
    <col min="5129" max="5376" width="9.140625" style="120"/>
    <col min="5377" max="5377" width="8.140625" style="120" customWidth="1"/>
    <col min="5378" max="5378" width="35.85546875" style="120" customWidth="1"/>
    <col min="5379" max="5379" width="8.42578125" style="120" customWidth="1"/>
    <col min="5380" max="5380" width="9.7109375" style="120" customWidth="1"/>
    <col min="5381" max="5381" width="6.5703125" style="120" customWidth="1"/>
    <col min="5382" max="5382" width="9.7109375" style="120" customWidth="1"/>
    <col min="5383" max="5383" width="7.42578125" style="120" customWidth="1"/>
    <col min="5384" max="5384" width="7.5703125" style="120" customWidth="1"/>
    <col min="5385" max="5632" width="9.140625" style="120"/>
    <col min="5633" max="5633" width="8.140625" style="120" customWidth="1"/>
    <col min="5634" max="5634" width="35.85546875" style="120" customWidth="1"/>
    <col min="5635" max="5635" width="8.42578125" style="120" customWidth="1"/>
    <col min="5636" max="5636" width="9.7109375" style="120" customWidth="1"/>
    <col min="5637" max="5637" width="6.5703125" style="120" customWidth="1"/>
    <col min="5638" max="5638" width="9.7109375" style="120" customWidth="1"/>
    <col min="5639" max="5639" width="7.42578125" style="120" customWidth="1"/>
    <col min="5640" max="5640" width="7.5703125" style="120" customWidth="1"/>
    <col min="5641" max="5888" width="9.140625" style="120"/>
    <col min="5889" max="5889" width="8.140625" style="120" customWidth="1"/>
    <col min="5890" max="5890" width="35.85546875" style="120" customWidth="1"/>
    <col min="5891" max="5891" width="8.42578125" style="120" customWidth="1"/>
    <col min="5892" max="5892" width="9.7109375" style="120" customWidth="1"/>
    <col min="5893" max="5893" width="6.5703125" style="120" customWidth="1"/>
    <col min="5894" max="5894" width="9.7109375" style="120" customWidth="1"/>
    <col min="5895" max="5895" width="7.42578125" style="120" customWidth="1"/>
    <col min="5896" max="5896" width="7.5703125" style="120" customWidth="1"/>
    <col min="5897" max="6144" width="9.140625" style="120"/>
    <col min="6145" max="6145" width="8.140625" style="120" customWidth="1"/>
    <col min="6146" max="6146" width="35.85546875" style="120" customWidth="1"/>
    <col min="6147" max="6147" width="8.42578125" style="120" customWidth="1"/>
    <col min="6148" max="6148" width="9.7109375" style="120" customWidth="1"/>
    <col min="6149" max="6149" width="6.5703125" style="120" customWidth="1"/>
    <col min="6150" max="6150" width="9.7109375" style="120" customWidth="1"/>
    <col min="6151" max="6151" width="7.42578125" style="120" customWidth="1"/>
    <col min="6152" max="6152" width="7.5703125" style="120" customWidth="1"/>
    <col min="6153" max="6400" width="9.140625" style="120"/>
    <col min="6401" max="6401" width="8.140625" style="120" customWidth="1"/>
    <col min="6402" max="6402" width="35.85546875" style="120" customWidth="1"/>
    <col min="6403" max="6403" width="8.42578125" style="120" customWidth="1"/>
    <col min="6404" max="6404" width="9.7109375" style="120" customWidth="1"/>
    <col min="6405" max="6405" width="6.5703125" style="120" customWidth="1"/>
    <col min="6406" max="6406" width="9.7109375" style="120" customWidth="1"/>
    <col min="6407" max="6407" width="7.42578125" style="120" customWidth="1"/>
    <col min="6408" max="6408" width="7.5703125" style="120" customWidth="1"/>
    <col min="6409" max="6656" width="9.140625" style="120"/>
    <col min="6657" max="6657" width="8.140625" style="120" customWidth="1"/>
    <col min="6658" max="6658" width="35.85546875" style="120" customWidth="1"/>
    <col min="6659" max="6659" width="8.42578125" style="120" customWidth="1"/>
    <col min="6660" max="6660" width="9.7109375" style="120" customWidth="1"/>
    <col min="6661" max="6661" width="6.5703125" style="120" customWidth="1"/>
    <col min="6662" max="6662" width="9.7109375" style="120" customWidth="1"/>
    <col min="6663" max="6663" width="7.42578125" style="120" customWidth="1"/>
    <col min="6664" max="6664" width="7.5703125" style="120" customWidth="1"/>
    <col min="6665" max="6912" width="9.140625" style="120"/>
    <col min="6913" max="6913" width="8.140625" style="120" customWidth="1"/>
    <col min="6914" max="6914" width="35.85546875" style="120" customWidth="1"/>
    <col min="6915" max="6915" width="8.42578125" style="120" customWidth="1"/>
    <col min="6916" max="6916" width="9.7109375" style="120" customWidth="1"/>
    <col min="6917" max="6917" width="6.5703125" style="120" customWidth="1"/>
    <col min="6918" max="6918" width="9.7109375" style="120" customWidth="1"/>
    <col min="6919" max="6919" width="7.42578125" style="120" customWidth="1"/>
    <col min="6920" max="6920" width="7.5703125" style="120" customWidth="1"/>
    <col min="6921" max="7168" width="9.140625" style="120"/>
    <col min="7169" max="7169" width="8.140625" style="120" customWidth="1"/>
    <col min="7170" max="7170" width="35.85546875" style="120" customWidth="1"/>
    <col min="7171" max="7171" width="8.42578125" style="120" customWidth="1"/>
    <col min="7172" max="7172" width="9.7109375" style="120" customWidth="1"/>
    <col min="7173" max="7173" width="6.5703125" style="120" customWidth="1"/>
    <col min="7174" max="7174" width="9.7109375" style="120" customWidth="1"/>
    <col min="7175" max="7175" width="7.42578125" style="120" customWidth="1"/>
    <col min="7176" max="7176" width="7.5703125" style="120" customWidth="1"/>
    <col min="7177" max="7424" width="9.140625" style="120"/>
    <col min="7425" max="7425" width="8.140625" style="120" customWidth="1"/>
    <col min="7426" max="7426" width="35.85546875" style="120" customWidth="1"/>
    <col min="7427" max="7427" width="8.42578125" style="120" customWidth="1"/>
    <col min="7428" max="7428" width="9.7109375" style="120" customWidth="1"/>
    <col min="7429" max="7429" width="6.5703125" style="120" customWidth="1"/>
    <col min="7430" max="7430" width="9.7109375" style="120" customWidth="1"/>
    <col min="7431" max="7431" width="7.42578125" style="120" customWidth="1"/>
    <col min="7432" max="7432" width="7.5703125" style="120" customWidth="1"/>
    <col min="7433" max="7680" width="9.140625" style="120"/>
    <col min="7681" max="7681" width="8.140625" style="120" customWidth="1"/>
    <col min="7682" max="7682" width="35.85546875" style="120" customWidth="1"/>
    <col min="7683" max="7683" width="8.42578125" style="120" customWidth="1"/>
    <col min="7684" max="7684" width="9.7109375" style="120" customWidth="1"/>
    <col min="7685" max="7685" width="6.5703125" style="120" customWidth="1"/>
    <col min="7686" max="7686" width="9.7109375" style="120" customWidth="1"/>
    <col min="7687" max="7687" width="7.42578125" style="120" customWidth="1"/>
    <col min="7688" max="7688" width="7.5703125" style="120" customWidth="1"/>
    <col min="7689" max="7936" width="9.140625" style="120"/>
    <col min="7937" max="7937" width="8.140625" style="120" customWidth="1"/>
    <col min="7938" max="7938" width="35.85546875" style="120" customWidth="1"/>
    <col min="7939" max="7939" width="8.42578125" style="120" customWidth="1"/>
    <col min="7940" max="7940" width="9.7109375" style="120" customWidth="1"/>
    <col min="7941" max="7941" width="6.5703125" style="120" customWidth="1"/>
    <col min="7942" max="7942" width="9.7109375" style="120" customWidth="1"/>
    <col min="7943" max="7943" width="7.42578125" style="120" customWidth="1"/>
    <col min="7944" max="7944" width="7.5703125" style="120" customWidth="1"/>
    <col min="7945" max="8192" width="9.140625" style="120"/>
    <col min="8193" max="8193" width="8.140625" style="120" customWidth="1"/>
    <col min="8194" max="8194" width="35.85546875" style="120" customWidth="1"/>
    <col min="8195" max="8195" width="8.42578125" style="120" customWidth="1"/>
    <col min="8196" max="8196" width="9.7109375" style="120" customWidth="1"/>
    <col min="8197" max="8197" width="6.5703125" style="120" customWidth="1"/>
    <col min="8198" max="8198" width="9.7109375" style="120" customWidth="1"/>
    <col min="8199" max="8199" width="7.42578125" style="120" customWidth="1"/>
    <col min="8200" max="8200" width="7.5703125" style="120" customWidth="1"/>
    <col min="8201" max="8448" width="9.140625" style="120"/>
    <col min="8449" max="8449" width="8.140625" style="120" customWidth="1"/>
    <col min="8450" max="8450" width="35.85546875" style="120" customWidth="1"/>
    <col min="8451" max="8451" width="8.42578125" style="120" customWidth="1"/>
    <col min="8452" max="8452" width="9.7109375" style="120" customWidth="1"/>
    <col min="8453" max="8453" width="6.5703125" style="120" customWidth="1"/>
    <col min="8454" max="8454" width="9.7109375" style="120" customWidth="1"/>
    <col min="8455" max="8455" width="7.42578125" style="120" customWidth="1"/>
    <col min="8456" max="8456" width="7.5703125" style="120" customWidth="1"/>
    <col min="8457" max="8704" width="9.140625" style="120"/>
    <col min="8705" max="8705" width="8.140625" style="120" customWidth="1"/>
    <col min="8706" max="8706" width="35.85546875" style="120" customWidth="1"/>
    <col min="8707" max="8707" width="8.42578125" style="120" customWidth="1"/>
    <col min="8708" max="8708" width="9.7109375" style="120" customWidth="1"/>
    <col min="8709" max="8709" width="6.5703125" style="120" customWidth="1"/>
    <col min="8710" max="8710" width="9.7109375" style="120" customWidth="1"/>
    <col min="8711" max="8711" width="7.42578125" style="120" customWidth="1"/>
    <col min="8712" max="8712" width="7.5703125" style="120" customWidth="1"/>
    <col min="8713" max="8960" width="9.140625" style="120"/>
    <col min="8961" max="8961" width="8.140625" style="120" customWidth="1"/>
    <col min="8962" max="8962" width="35.85546875" style="120" customWidth="1"/>
    <col min="8963" max="8963" width="8.42578125" style="120" customWidth="1"/>
    <col min="8964" max="8964" width="9.7109375" style="120" customWidth="1"/>
    <col min="8965" max="8965" width="6.5703125" style="120" customWidth="1"/>
    <col min="8966" max="8966" width="9.7109375" style="120" customWidth="1"/>
    <col min="8967" max="8967" width="7.42578125" style="120" customWidth="1"/>
    <col min="8968" max="8968" width="7.5703125" style="120" customWidth="1"/>
    <col min="8969" max="9216" width="9.140625" style="120"/>
    <col min="9217" max="9217" width="8.140625" style="120" customWidth="1"/>
    <col min="9218" max="9218" width="35.85546875" style="120" customWidth="1"/>
    <col min="9219" max="9219" width="8.42578125" style="120" customWidth="1"/>
    <col min="9220" max="9220" width="9.7109375" style="120" customWidth="1"/>
    <col min="9221" max="9221" width="6.5703125" style="120" customWidth="1"/>
    <col min="9222" max="9222" width="9.7109375" style="120" customWidth="1"/>
    <col min="9223" max="9223" width="7.42578125" style="120" customWidth="1"/>
    <col min="9224" max="9224" width="7.5703125" style="120" customWidth="1"/>
    <col min="9225" max="9472" width="9.140625" style="120"/>
    <col min="9473" max="9473" width="8.140625" style="120" customWidth="1"/>
    <col min="9474" max="9474" width="35.85546875" style="120" customWidth="1"/>
    <col min="9475" max="9475" width="8.42578125" style="120" customWidth="1"/>
    <col min="9476" max="9476" width="9.7109375" style="120" customWidth="1"/>
    <col min="9477" max="9477" width="6.5703125" style="120" customWidth="1"/>
    <col min="9478" max="9478" width="9.7109375" style="120" customWidth="1"/>
    <col min="9479" max="9479" width="7.42578125" style="120" customWidth="1"/>
    <col min="9480" max="9480" width="7.5703125" style="120" customWidth="1"/>
    <col min="9481" max="9728" width="9.140625" style="120"/>
    <col min="9729" max="9729" width="8.140625" style="120" customWidth="1"/>
    <col min="9730" max="9730" width="35.85546875" style="120" customWidth="1"/>
    <col min="9731" max="9731" width="8.42578125" style="120" customWidth="1"/>
    <col min="9732" max="9732" width="9.7109375" style="120" customWidth="1"/>
    <col min="9733" max="9733" width="6.5703125" style="120" customWidth="1"/>
    <col min="9734" max="9734" width="9.7109375" style="120" customWidth="1"/>
    <col min="9735" max="9735" width="7.42578125" style="120" customWidth="1"/>
    <col min="9736" max="9736" width="7.5703125" style="120" customWidth="1"/>
    <col min="9737" max="9984" width="9.140625" style="120"/>
    <col min="9985" max="9985" width="8.140625" style="120" customWidth="1"/>
    <col min="9986" max="9986" width="35.85546875" style="120" customWidth="1"/>
    <col min="9987" max="9987" width="8.42578125" style="120" customWidth="1"/>
    <col min="9988" max="9988" width="9.7109375" style="120" customWidth="1"/>
    <col min="9989" max="9989" width="6.5703125" style="120" customWidth="1"/>
    <col min="9990" max="9990" width="9.7109375" style="120" customWidth="1"/>
    <col min="9991" max="9991" width="7.42578125" style="120" customWidth="1"/>
    <col min="9992" max="9992" width="7.5703125" style="120" customWidth="1"/>
    <col min="9993" max="10240" width="9.140625" style="120"/>
    <col min="10241" max="10241" width="8.140625" style="120" customWidth="1"/>
    <col min="10242" max="10242" width="35.85546875" style="120" customWidth="1"/>
    <col min="10243" max="10243" width="8.42578125" style="120" customWidth="1"/>
    <col min="10244" max="10244" width="9.7109375" style="120" customWidth="1"/>
    <col min="10245" max="10245" width="6.5703125" style="120" customWidth="1"/>
    <col min="10246" max="10246" width="9.7109375" style="120" customWidth="1"/>
    <col min="10247" max="10247" width="7.42578125" style="120" customWidth="1"/>
    <col min="10248" max="10248" width="7.5703125" style="120" customWidth="1"/>
    <col min="10249" max="10496" width="9.140625" style="120"/>
    <col min="10497" max="10497" width="8.140625" style="120" customWidth="1"/>
    <col min="10498" max="10498" width="35.85546875" style="120" customWidth="1"/>
    <col min="10499" max="10499" width="8.42578125" style="120" customWidth="1"/>
    <col min="10500" max="10500" width="9.7109375" style="120" customWidth="1"/>
    <col min="10501" max="10501" width="6.5703125" style="120" customWidth="1"/>
    <col min="10502" max="10502" width="9.7109375" style="120" customWidth="1"/>
    <col min="10503" max="10503" width="7.42578125" style="120" customWidth="1"/>
    <col min="10504" max="10504" width="7.5703125" style="120" customWidth="1"/>
    <col min="10505" max="10752" width="9.140625" style="120"/>
    <col min="10753" max="10753" width="8.140625" style="120" customWidth="1"/>
    <col min="10754" max="10754" width="35.85546875" style="120" customWidth="1"/>
    <col min="10755" max="10755" width="8.42578125" style="120" customWidth="1"/>
    <col min="10756" max="10756" width="9.7109375" style="120" customWidth="1"/>
    <col min="10757" max="10757" width="6.5703125" style="120" customWidth="1"/>
    <col min="10758" max="10758" width="9.7109375" style="120" customWidth="1"/>
    <col min="10759" max="10759" width="7.42578125" style="120" customWidth="1"/>
    <col min="10760" max="10760" width="7.5703125" style="120" customWidth="1"/>
    <col min="10761" max="11008" width="9.140625" style="120"/>
    <col min="11009" max="11009" width="8.140625" style="120" customWidth="1"/>
    <col min="11010" max="11010" width="35.85546875" style="120" customWidth="1"/>
    <col min="11011" max="11011" width="8.42578125" style="120" customWidth="1"/>
    <col min="11012" max="11012" width="9.7109375" style="120" customWidth="1"/>
    <col min="11013" max="11013" width="6.5703125" style="120" customWidth="1"/>
    <col min="11014" max="11014" width="9.7109375" style="120" customWidth="1"/>
    <col min="11015" max="11015" width="7.42578125" style="120" customWidth="1"/>
    <col min="11016" max="11016" width="7.5703125" style="120" customWidth="1"/>
    <col min="11017" max="11264" width="9.140625" style="120"/>
    <col min="11265" max="11265" width="8.140625" style="120" customWidth="1"/>
    <col min="11266" max="11266" width="35.85546875" style="120" customWidth="1"/>
    <col min="11267" max="11267" width="8.42578125" style="120" customWidth="1"/>
    <col min="11268" max="11268" width="9.7109375" style="120" customWidth="1"/>
    <col min="11269" max="11269" width="6.5703125" style="120" customWidth="1"/>
    <col min="11270" max="11270" width="9.7109375" style="120" customWidth="1"/>
    <col min="11271" max="11271" width="7.42578125" style="120" customWidth="1"/>
    <col min="11272" max="11272" width="7.5703125" style="120" customWidth="1"/>
    <col min="11273" max="11520" width="9.140625" style="120"/>
    <col min="11521" max="11521" width="8.140625" style="120" customWidth="1"/>
    <col min="11522" max="11522" width="35.85546875" style="120" customWidth="1"/>
    <col min="11523" max="11523" width="8.42578125" style="120" customWidth="1"/>
    <col min="11524" max="11524" width="9.7109375" style="120" customWidth="1"/>
    <col min="11525" max="11525" width="6.5703125" style="120" customWidth="1"/>
    <col min="11526" max="11526" width="9.7109375" style="120" customWidth="1"/>
    <col min="11527" max="11527" width="7.42578125" style="120" customWidth="1"/>
    <col min="11528" max="11528" width="7.5703125" style="120" customWidth="1"/>
    <col min="11529" max="11776" width="9.140625" style="120"/>
    <col min="11777" max="11777" width="8.140625" style="120" customWidth="1"/>
    <col min="11778" max="11778" width="35.85546875" style="120" customWidth="1"/>
    <col min="11779" max="11779" width="8.42578125" style="120" customWidth="1"/>
    <col min="11780" max="11780" width="9.7109375" style="120" customWidth="1"/>
    <col min="11781" max="11781" width="6.5703125" style="120" customWidth="1"/>
    <col min="11782" max="11782" width="9.7109375" style="120" customWidth="1"/>
    <col min="11783" max="11783" width="7.42578125" style="120" customWidth="1"/>
    <col min="11784" max="11784" width="7.5703125" style="120" customWidth="1"/>
    <col min="11785" max="12032" width="9.140625" style="120"/>
    <col min="12033" max="12033" width="8.140625" style="120" customWidth="1"/>
    <col min="12034" max="12034" width="35.85546875" style="120" customWidth="1"/>
    <col min="12035" max="12035" width="8.42578125" style="120" customWidth="1"/>
    <col min="12036" max="12036" width="9.7109375" style="120" customWidth="1"/>
    <col min="12037" max="12037" width="6.5703125" style="120" customWidth="1"/>
    <col min="12038" max="12038" width="9.7109375" style="120" customWidth="1"/>
    <col min="12039" max="12039" width="7.42578125" style="120" customWidth="1"/>
    <col min="12040" max="12040" width="7.5703125" style="120" customWidth="1"/>
    <col min="12041" max="12288" width="9.140625" style="120"/>
    <col min="12289" max="12289" width="8.140625" style="120" customWidth="1"/>
    <col min="12290" max="12290" width="35.85546875" style="120" customWidth="1"/>
    <col min="12291" max="12291" width="8.42578125" style="120" customWidth="1"/>
    <col min="12292" max="12292" width="9.7109375" style="120" customWidth="1"/>
    <col min="12293" max="12293" width="6.5703125" style="120" customWidth="1"/>
    <col min="12294" max="12294" width="9.7109375" style="120" customWidth="1"/>
    <col min="12295" max="12295" width="7.42578125" style="120" customWidth="1"/>
    <col min="12296" max="12296" width="7.5703125" style="120" customWidth="1"/>
    <col min="12297" max="12544" width="9.140625" style="120"/>
    <col min="12545" max="12545" width="8.140625" style="120" customWidth="1"/>
    <col min="12546" max="12546" width="35.85546875" style="120" customWidth="1"/>
    <col min="12547" max="12547" width="8.42578125" style="120" customWidth="1"/>
    <col min="12548" max="12548" width="9.7109375" style="120" customWidth="1"/>
    <col min="12549" max="12549" width="6.5703125" style="120" customWidth="1"/>
    <col min="12550" max="12550" width="9.7109375" style="120" customWidth="1"/>
    <col min="12551" max="12551" width="7.42578125" style="120" customWidth="1"/>
    <col min="12552" max="12552" width="7.5703125" style="120" customWidth="1"/>
    <col min="12553" max="12800" width="9.140625" style="120"/>
    <col min="12801" max="12801" width="8.140625" style="120" customWidth="1"/>
    <col min="12802" max="12802" width="35.85546875" style="120" customWidth="1"/>
    <col min="12803" max="12803" width="8.42578125" style="120" customWidth="1"/>
    <col min="12804" max="12804" width="9.7109375" style="120" customWidth="1"/>
    <col min="12805" max="12805" width="6.5703125" style="120" customWidth="1"/>
    <col min="12806" max="12806" width="9.7109375" style="120" customWidth="1"/>
    <col min="12807" max="12807" width="7.42578125" style="120" customWidth="1"/>
    <col min="12808" max="12808" width="7.5703125" style="120" customWidth="1"/>
    <col min="12809" max="13056" width="9.140625" style="120"/>
    <col min="13057" max="13057" width="8.140625" style="120" customWidth="1"/>
    <col min="13058" max="13058" width="35.85546875" style="120" customWidth="1"/>
    <col min="13059" max="13059" width="8.42578125" style="120" customWidth="1"/>
    <col min="13060" max="13060" width="9.7109375" style="120" customWidth="1"/>
    <col min="13061" max="13061" width="6.5703125" style="120" customWidth="1"/>
    <col min="13062" max="13062" width="9.7109375" style="120" customWidth="1"/>
    <col min="13063" max="13063" width="7.42578125" style="120" customWidth="1"/>
    <col min="13064" max="13064" width="7.5703125" style="120" customWidth="1"/>
    <col min="13065" max="13312" width="9.140625" style="120"/>
    <col min="13313" max="13313" width="8.140625" style="120" customWidth="1"/>
    <col min="13314" max="13314" width="35.85546875" style="120" customWidth="1"/>
    <col min="13315" max="13315" width="8.42578125" style="120" customWidth="1"/>
    <col min="13316" max="13316" width="9.7109375" style="120" customWidth="1"/>
    <col min="13317" max="13317" width="6.5703125" style="120" customWidth="1"/>
    <col min="13318" max="13318" width="9.7109375" style="120" customWidth="1"/>
    <col min="13319" max="13319" width="7.42578125" style="120" customWidth="1"/>
    <col min="13320" max="13320" width="7.5703125" style="120" customWidth="1"/>
    <col min="13321" max="13568" width="9.140625" style="120"/>
    <col min="13569" max="13569" width="8.140625" style="120" customWidth="1"/>
    <col min="13570" max="13570" width="35.85546875" style="120" customWidth="1"/>
    <col min="13571" max="13571" width="8.42578125" style="120" customWidth="1"/>
    <col min="13572" max="13572" width="9.7109375" style="120" customWidth="1"/>
    <col min="13573" max="13573" width="6.5703125" style="120" customWidth="1"/>
    <col min="13574" max="13574" width="9.7109375" style="120" customWidth="1"/>
    <col min="13575" max="13575" width="7.42578125" style="120" customWidth="1"/>
    <col min="13576" max="13576" width="7.5703125" style="120" customWidth="1"/>
    <col min="13577" max="13824" width="9.140625" style="120"/>
    <col min="13825" max="13825" width="8.140625" style="120" customWidth="1"/>
    <col min="13826" max="13826" width="35.85546875" style="120" customWidth="1"/>
    <col min="13827" max="13827" width="8.42578125" style="120" customWidth="1"/>
    <col min="13828" max="13828" width="9.7109375" style="120" customWidth="1"/>
    <col min="13829" max="13829" width="6.5703125" style="120" customWidth="1"/>
    <col min="13830" max="13830" width="9.7109375" style="120" customWidth="1"/>
    <col min="13831" max="13831" width="7.42578125" style="120" customWidth="1"/>
    <col min="13832" max="13832" width="7.5703125" style="120" customWidth="1"/>
    <col min="13833" max="14080" width="9.140625" style="120"/>
    <col min="14081" max="14081" width="8.140625" style="120" customWidth="1"/>
    <col min="14082" max="14082" width="35.85546875" style="120" customWidth="1"/>
    <col min="14083" max="14083" width="8.42578125" style="120" customWidth="1"/>
    <col min="14084" max="14084" width="9.7109375" style="120" customWidth="1"/>
    <col min="14085" max="14085" width="6.5703125" style="120" customWidth="1"/>
    <col min="14086" max="14086" width="9.7109375" style="120" customWidth="1"/>
    <col min="14087" max="14087" width="7.42578125" style="120" customWidth="1"/>
    <col min="14088" max="14088" width="7.5703125" style="120" customWidth="1"/>
    <col min="14089" max="14336" width="9.140625" style="120"/>
    <col min="14337" max="14337" width="8.140625" style="120" customWidth="1"/>
    <col min="14338" max="14338" width="35.85546875" style="120" customWidth="1"/>
    <col min="14339" max="14339" width="8.42578125" style="120" customWidth="1"/>
    <col min="14340" max="14340" width="9.7109375" style="120" customWidth="1"/>
    <col min="14341" max="14341" width="6.5703125" style="120" customWidth="1"/>
    <col min="14342" max="14342" width="9.7109375" style="120" customWidth="1"/>
    <col min="14343" max="14343" width="7.42578125" style="120" customWidth="1"/>
    <col min="14344" max="14344" width="7.5703125" style="120" customWidth="1"/>
    <col min="14345" max="14592" width="9.140625" style="120"/>
    <col min="14593" max="14593" width="8.140625" style="120" customWidth="1"/>
    <col min="14594" max="14594" width="35.85546875" style="120" customWidth="1"/>
    <col min="14595" max="14595" width="8.42578125" style="120" customWidth="1"/>
    <col min="14596" max="14596" width="9.7109375" style="120" customWidth="1"/>
    <col min="14597" max="14597" width="6.5703125" style="120" customWidth="1"/>
    <col min="14598" max="14598" width="9.7109375" style="120" customWidth="1"/>
    <col min="14599" max="14599" width="7.42578125" style="120" customWidth="1"/>
    <col min="14600" max="14600" width="7.5703125" style="120" customWidth="1"/>
    <col min="14601" max="14848" width="9.140625" style="120"/>
    <col min="14849" max="14849" width="8.140625" style="120" customWidth="1"/>
    <col min="14850" max="14850" width="35.85546875" style="120" customWidth="1"/>
    <col min="14851" max="14851" width="8.42578125" style="120" customWidth="1"/>
    <col min="14852" max="14852" width="9.7109375" style="120" customWidth="1"/>
    <col min="14853" max="14853" width="6.5703125" style="120" customWidth="1"/>
    <col min="14854" max="14854" width="9.7109375" style="120" customWidth="1"/>
    <col min="14855" max="14855" width="7.42578125" style="120" customWidth="1"/>
    <col min="14856" max="14856" width="7.5703125" style="120" customWidth="1"/>
    <col min="14857" max="15104" width="9.140625" style="120"/>
    <col min="15105" max="15105" width="8.140625" style="120" customWidth="1"/>
    <col min="15106" max="15106" width="35.85546875" style="120" customWidth="1"/>
    <col min="15107" max="15107" width="8.42578125" style="120" customWidth="1"/>
    <col min="15108" max="15108" width="9.7109375" style="120" customWidth="1"/>
    <col min="15109" max="15109" width="6.5703125" style="120" customWidth="1"/>
    <col min="15110" max="15110" width="9.7109375" style="120" customWidth="1"/>
    <col min="15111" max="15111" width="7.42578125" style="120" customWidth="1"/>
    <col min="15112" max="15112" width="7.5703125" style="120" customWidth="1"/>
    <col min="15113" max="15360" width="9.140625" style="120"/>
    <col min="15361" max="15361" width="8.140625" style="120" customWidth="1"/>
    <col min="15362" max="15362" width="35.85546875" style="120" customWidth="1"/>
    <col min="15363" max="15363" width="8.42578125" style="120" customWidth="1"/>
    <col min="15364" max="15364" width="9.7109375" style="120" customWidth="1"/>
    <col min="15365" max="15365" width="6.5703125" style="120" customWidth="1"/>
    <col min="15366" max="15366" width="9.7109375" style="120" customWidth="1"/>
    <col min="15367" max="15367" width="7.42578125" style="120" customWidth="1"/>
    <col min="15368" max="15368" width="7.5703125" style="120" customWidth="1"/>
    <col min="15369" max="15616" width="9.140625" style="120"/>
    <col min="15617" max="15617" width="8.140625" style="120" customWidth="1"/>
    <col min="15618" max="15618" width="35.85546875" style="120" customWidth="1"/>
    <col min="15619" max="15619" width="8.42578125" style="120" customWidth="1"/>
    <col min="15620" max="15620" width="9.7109375" style="120" customWidth="1"/>
    <col min="15621" max="15621" width="6.5703125" style="120" customWidth="1"/>
    <col min="15622" max="15622" width="9.7109375" style="120" customWidth="1"/>
    <col min="15623" max="15623" width="7.42578125" style="120" customWidth="1"/>
    <col min="15624" max="15624" width="7.5703125" style="120" customWidth="1"/>
    <col min="15625" max="15872" width="9.140625" style="120"/>
    <col min="15873" max="15873" width="8.140625" style="120" customWidth="1"/>
    <col min="15874" max="15874" width="35.85546875" style="120" customWidth="1"/>
    <col min="15875" max="15875" width="8.42578125" style="120" customWidth="1"/>
    <col min="15876" max="15876" width="9.7109375" style="120" customWidth="1"/>
    <col min="15877" max="15877" width="6.5703125" style="120" customWidth="1"/>
    <col min="15878" max="15878" width="9.7109375" style="120" customWidth="1"/>
    <col min="15879" max="15879" width="7.42578125" style="120" customWidth="1"/>
    <col min="15880" max="15880" width="7.5703125" style="120" customWidth="1"/>
    <col min="15881" max="16128" width="9.140625" style="120"/>
    <col min="16129" max="16129" width="8.140625" style="120" customWidth="1"/>
    <col min="16130" max="16130" width="35.85546875" style="120" customWidth="1"/>
    <col min="16131" max="16131" width="8.42578125" style="120" customWidth="1"/>
    <col min="16132" max="16132" width="9.7109375" style="120" customWidth="1"/>
    <col min="16133" max="16133" width="6.5703125" style="120" customWidth="1"/>
    <col min="16134" max="16134" width="9.7109375" style="120" customWidth="1"/>
    <col min="16135" max="16135" width="7.42578125" style="120" customWidth="1"/>
    <col min="16136" max="16136" width="7.5703125" style="120" customWidth="1"/>
    <col min="16137" max="16384" width="9.140625" style="120"/>
  </cols>
  <sheetData>
    <row r="1" spans="1:25">
      <c r="A1" s="400" t="s">
        <v>331</v>
      </c>
      <c r="B1" s="399" t="s">
        <v>187</v>
      </c>
      <c r="C1" s="321" t="s">
        <v>1869</v>
      </c>
      <c r="D1" s="401"/>
      <c r="E1" s="401"/>
      <c r="F1" s="401"/>
      <c r="G1" s="325"/>
    </row>
    <row r="2" spans="1:25">
      <c r="A2" s="400"/>
      <c r="B2" s="399" t="s">
        <v>188</v>
      </c>
      <c r="C2" s="1280">
        <v>17862944</v>
      </c>
      <c r="D2" s="401"/>
      <c r="E2" s="401"/>
      <c r="F2" s="401"/>
      <c r="G2" s="325"/>
    </row>
    <row r="3" spans="1:25">
      <c r="A3" s="400"/>
      <c r="B3" s="399"/>
      <c r="C3" s="321"/>
      <c r="D3" s="401"/>
      <c r="E3" s="401"/>
      <c r="F3" s="401"/>
      <c r="G3" s="325"/>
    </row>
    <row r="4" spans="1:25" s="5" customFormat="1" ht="15.75">
      <c r="A4" s="400"/>
      <c r="B4" s="399" t="s">
        <v>1905</v>
      </c>
      <c r="C4" s="322" t="s">
        <v>1790</v>
      </c>
      <c r="D4" s="402"/>
      <c r="E4" s="402"/>
      <c r="F4" s="402"/>
      <c r="G4" s="326"/>
      <c r="H4" s="1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5" customFormat="1" ht="15.75">
      <c r="A5" s="6"/>
      <c r="B5" s="7"/>
      <c r="C5" s="7"/>
      <c r="D5" s="7"/>
      <c r="E5" s="7"/>
      <c r="F5" s="7"/>
      <c r="G5" s="12"/>
      <c r="H5" s="1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67.5" customHeight="1">
      <c r="A6" s="1866" t="s">
        <v>54</v>
      </c>
      <c r="B6" s="1866" t="s">
        <v>237</v>
      </c>
      <c r="C6" s="1860" t="s">
        <v>1787</v>
      </c>
      <c r="D6" s="1861"/>
      <c r="E6" s="1860" t="s">
        <v>1788</v>
      </c>
      <c r="F6" s="1861"/>
      <c r="G6" s="1860" t="s">
        <v>1789</v>
      </c>
      <c r="H6" s="1861"/>
    </row>
    <row r="7" spans="1:25" s="8" customFormat="1" ht="46.5" customHeight="1" thickBot="1">
      <c r="A7" s="1867"/>
      <c r="B7" s="1867"/>
      <c r="C7" s="924" t="s">
        <v>4078</v>
      </c>
      <c r="D7" s="1284" t="s">
        <v>4072</v>
      </c>
      <c r="E7" s="924" t="s">
        <v>4078</v>
      </c>
      <c r="F7" s="1284" t="s">
        <v>4072</v>
      </c>
      <c r="G7" s="924" t="s">
        <v>4078</v>
      </c>
      <c r="H7" s="1284" t="s">
        <v>4072</v>
      </c>
    </row>
    <row r="8" spans="1:25" s="8" customFormat="1" ht="13.5" thickTop="1">
      <c r="A8" s="329" t="s">
        <v>244</v>
      </c>
      <c r="B8" s="867"/>
      <c r="C8" s="868">
        <v>63767</v>
      </c>
      <c r="D8" s="868">
        <v>71000</v>
      </c>
      <c r="E8" s="868">
        <v>7596</v>
      </c>
      <c r="F8" s="868">
        <v>21000</v>
      </c>
      <c r="G8" s="852">
        <f t="shared" ref="G8:H23" si="0">C8+E8</f>
        <v>71363</v>
      </c>
      <c r="H8" s="852">
        <f t="shared" si="0"/>
        <v>92000</v>
      </c>
    </row>
    <row r="9" spans="1:25" s="8" customFormat="1" ht="13.5" thickBot="1">
      <c r="A9" s="869" t="s">
        <v>245</v>
      </c>
      <c r="B9" s="329"/>
      <c r="C9" s="852">
        <v>499999</v>
      </c>
      <c r="D9" s="852">
        <v>330000</v>
      </c>
      <c r="E9" s="852">
        <v>64142</v>
      </c>
      <c r="F9" s="852">
        <v>70000</v>
      </c>
      <c r="G9" s="852">
        <f t="shared" si="0"/>
        <v>564141</v>
      </c>
      <c r="H9" s="852">
        <f t="shared" si="0"/>
        <v>400000</v>
      </c>
    </row>
    <row r="10" spans="1:25" s="8" customFormat="1" ht="13.5" thickTop="1">
      <c r="A10" s="867" t="s">
        <v>321</v>
      </c>
      <c r="B10" s="329"/>
      <c r="C10" s="855">
        <f>SUM(C11:C72)</f>
        <v>630175</v>
      </c>
      <c r="D10" s="855">
        <f>SUM(D11:D72)</f>
        <v>553425</v>
      </c>
      <c r="E10" s="855">
        <f>SUM(E11:E72)</f>
        <v>77266</v>
      </c>
      <c r="F10" s="855">
        <f>SUM(F11:F72)</f>
        <v>100420</v>
      </c>
      <c r="G10" s="855">
        <f t="shared" si="0"/>
        <v>707441</v>
      </c>
      <c r="H10" s="855">
        <f t="shared" si="0"/>
        <v>653845</v>
      </c>
    </row>
    <row r="11" spans="1:25" s="8" customFormat="1" ht="12.75" customHeight="1">
      <c r="A11" s="870" t="s">
        <v>3403</v>
      </c>
      <c r="B11" s="846" t="s">
        <v>3404</v>
      </c>
      <c r="C11" s="1324">
        <v>1809</v>
      </c>
      <c r="D11" s="1324">
        <v>3500</v>
      </c>
      <c r="E11" s="1324">
        <v>457</v>
      </c>
      <c r="F11" s="1324">
        <v>500</v>
      </c>
      <c r="G11" s="871">
        <f t="shared" si="0"/>
        <v>2266</v>
      </c>
      <c r="H11" s="848">
        <f t="shared" si="0"/>
        <v>4000</v>
      </c>
    </row>
    <row r="12" spans="1:25" s="8" customFormat="1" ht="12.75" customHeight="1">
      <c r="A12" s="870" t="s">
        <v>3405</v>
      </c>
      <c r="B12" s="846" t="s">
        <v>3406</v>
      </c>
      <c r="C12" s="1324">
        <v>59743</v>
      </c>
      <c r="D12" s="1324">
        <v>45000</v>
      </c>
      <c r="E12" s="1324">
        <v>7395</v>
      </c>
      <c r="F12" s="1324">
        <v>10000</v>
      </c>
      <c r="G12" s="871">
        <f t="shared" si="0"/>
        <v>67138</v>
      </c>
      <c r="H12" s="848">
        <f t="shared" si="0"/>
        <v>55000</v>
      </c>
    </row>
    <row r="13" spans="1:25" s="8" customFormat="1" ht="12.75" customHeight="1">
      <c r="A13" s="870" t="s">
        <v>3407</v>
      </c>
      <c r="B13" s="846" t="s">
        <v>4031</v>
      </c>
      <c r="C13" s="848">
        <v>58395</v>
      </c>
      <c r="D13" s="848">
        <v>53000</v>
      </c>
      <c r="E13" s="848">
        <v>6810</v>
      </c>
      <c r="F13" s="848">
        <v>10000</v>
      </c>
      <c r="G13" s="871">
        <f t="shared" si="0"/>
        <v>65205</v>
      </c>
      <c r="H13" s="848">
        <f t="shared" si="0"/>
        <v>63000</v>
      </c>
    </row>
    <row r="14" spans="1:25" s="8" customFormat="1" ht="12.75" customHeight="1">
      <c r="A14" s="870" t="s">
        <v>3408</v>
      </c>
      <c r="B14" s="846" t="s">
        <v>4046</v>
      </c>
      <c r="C14" s="848">
        <v>21958</v>
      </c>
      <c r="D14" s="848">
        <v>0</v>
      </c>
      <c r="E14" s="848">
        <v>1558</v>
      </c>
      <c r="F14" s="848">
        <v>0</v>
      </c>
      <c r="G14" s="871">
        <f t="shared" si="0"/>
        <v>23516</v>
      </c>
      <c r="H14" s="848">
        <f t="shared" si="0"/>
        <v>0</v>
      </c>
    </row>
    <row r="15" spans="1:25" s="8" customFormat="1" ht="12.75" customHeight="1">
      <c r="A15" s="870" t="s">
        <v>3409</v>
      </c>
      <c r="B15" s="846" t="s">
        <v>3410</v>
      </c>
      <c r="C15" s="848">
        <v>0</v>
      </c>
      <c r="D15" s="848">
        <v>5</v>
      </c>
      <c r="E15" s="848">
        <v>0</v>
      </c>
      <c r="F15" s="848">
        <v>5</v>
      </c>
      <c r="G15" s="871">
        <f t="shared" si="0"/>
        <v>0</v>
      </c>
      <c r="H15" s="848">
        <f t="shared" si="0"/>
        <v>10</v>
      </c>
    </row>
    <row r="16" spans="1:25" s="8" customFormat="1" ht="12.75" customHeight="1">
      <c r="A16" s="870" t="s">
        <v>3411</v>
      </c>
      <c r="B16" s="846" t="s">
        <v>4047</v>
      </c>
      <c r="C16" s="848">
        <v>0</v>
      </c>
      <c r="D16" s="848">
        <v>5</v>
      </c>
      <c r="E16" s="848">
        <v>0</v>
      </c>
      <c r="F16" s="848">
        <v>5</v>
      </c>
      <c r="G16" s="871">
        <f t="shared" si="0"/>
        <v>0</v>
      </c>
      <c r="H16" s="848">
        <f t="shared" si="0"/>
        <v>10</v>
      </c>
    </row>
    <row r="17" spans="1:8" s="8" customFormat="1" ht="12.75" customHeight="1">
      <c r="A17" s="870" t="s">
        <v>3412</v>
      </c>
      <c r="B17" s="846" t="s">
        <v>4049</v>
      </c>
      <c r="C17" s="848">
        <v>0</v>
      </c>
      <c r="D17" s="848">
        <v>5</v>
      </c>
      <c r="E17" s="848">
        <v>0</v>
      </c>
      <c r="F17" s="848">
        <v>5</v>
      </c>
      <c r="G17" s="871">
        <f t="shared" si="0"/>
        <v>0</v>
      </c>
      <c r="H17" s="848">
        <f t="shared" si="0"/>
        <v>10</v>
      </c>
    </row>
    <row r="18" spans="1:8" s="8" customFormat="1" ht="12.75" customHeight="1">
      <c r="A18" s="870" t="s">
        <v>3413</v>
      </c>
      <c r="B18" s="846" t="s">
        <v>4048</v>
      </c>
      <c r="C18" s="848">
        <v>0</v>
      </c>
      <c r="D18" s="848">
        <v>5</v>
      </c>
      <c r="E18" s="848">
        <v>0</v>
      </c>
      <c r="F18" s="848">
        <v>5</v>
      </c>
      <c r="G18" s="871">
        <f t="shared" si="0"/>
        <v>0</v>
      </c>
      <c r="H18" s="848">
        <f t="shared" si="0"/>
        <v>10</v>
      </c>
    </row>
    <row r="19" spans="1:8" s="8" customFormat="1" ht="12.75" customHeight="1">
      <c r="A19" s="870" t="s">
        <v>3414</v>
      </c>
      <c r="B19" s="846" t="s">
        <v>3415</v>
      </c>
      <c r="C19" s="848">
        <v>30827</v>
      </c>
      <c r="D19" s="848">
        <v>24000</v>
      </c>
      <c r="E19" s="848">
        <v>845</v>
      </c>
      <c r="F19" s="848">
        <v>5000</v>
      </c>
      <c r="G19" s="871">
        <f t="shared" si="0"/>
        <v>31672</v>
      </c>
      <c r="H19" s="848">
        <f t="shared" si="0"/>
        <v>29000</v>
      </c>
    </row>
    <row r="20" spans="1:8" s="1211" customFormat="1" ht="12.75" customHeight="1">
      <c r="A20" s="870" t="s">
        <v>3416</v>
      </c>
      <c r="B20" s="849" t="s">
        <v>4030</v>
      </c>
      <c r="C20" s="848">
        <v>1881</v>
      </c>
      <c r="D20" s="848">
        <v>3000</v>
      </c>
      <c r="E20" s="848">
        <v>84</v>
      </c>
      <c r="F20" s="848">
        <v>500</v>
      </c>
      <c r="G20" s="871">
        <f t="shared" si="0"/>
        <v>1965</v>
      </c>
      <c r="H20" s="848">
        <f t="shared" si="0"/>
        <v>3500</v>
      </c>
    </row>
    <row r="21" spans="1:8" s="8" customFormat="1" ht="12.75" customHeight="1">
      <c r="A21" s="872" t="s">
        <v>3417</v>
      </c>
      <c r="B21" s="849" t="s">
        <v>3418</v>
      </c>
      <c r="C21" s="848">
        <v>880</v>
      </c>
      <c r="D21" s="848">
        <v>800</v>
      </c>
      <c r="E21" s="848">
        <v>588</v>
      </c>
      <c r="F21" s="848">
        <v>700</v>
      </c>
      <c r="G21" s="871">
        <f t="shared" si="0"/>
        <v>1468</v>
      </c>
      <c r="H21" s="848">
        <f t="shared" si="0"/>
        <v>1500</v>
      </c>
    </row>
    <row r="22" spans="1:8" s="8" customFormat="1" ht="12.75" customHeight="1">
      <c r="A22" s="873" t="s">
        <v>3419</v>
      </c>
      <c r="B22" s="387" t="s">
        <v>3420</v>
      </c>
      <c r="C22" s="848">
        <v>1810</v>
      </c>
      <c r="D22" s="848">
        <v>2500</v>
      </c>
      <c r="E22" s="848">
        <v>206</v>
      </c>
      <c r="F22" s="848">
        <v>250</v>
      </c>
      <c r="G22" s="871">
        <f t="shared" si="0"/>
        <v>2016</v>
      </c>
      <c r="H22" s="848">
        <f t="shared" si="0"/>
        <v>2750</v>
      </c>
    </row>
    <row r="23" spans="1:8" s="8" customFormat="1" ht="12.75" customHeight="1">
      <c r="A23" s="873" t="s">
        <v>3421</v>
      </c>
      <c r="B23" s="850" t="s">
        <v>3422</v>
      </c>
      <c r="C23" s="848">
        <v>46204</v>
      </c>
      <c r="D23" s="848">
        <v>39500</v>
      </c>
      <c r="E23" s="848">
        <v>4075</v>
      </c>
      <c r="F23" s="848">
        <v>3500</v>
      </c>
      <c r="G23" s="871">
        <f t="shared" si="0"/>
        <v>50279</v>
      </c>
      <c r="H23" s="848">
        <f t="shared" si="0"/>
        <v>43000</v>
      </c>
    </row>
    <row r="24" spans="1:8" s="8" customFormat="1" ht="12.75" customHeight="1">
      <c r="A24" s="873" t="s">
        <v>3423</v>
      </c>
      <c r="B24" s="850" t="s">
        <v>3424</v>
      </c>
      <c r="C24" s="848">
        <v>2780</v>
      </c>
      <c r="D24" s="848">
        <v>2500</v>
      </c>
      <c r="E24" s="848">
        <v>1682</v>
      </c>
      <c r="F24" s="848">
        <v>1500</v>
      </c>
      <c r="G24" s="871">
        <f t="shared" ref="G24:H66" si="1">C24+E24</f>
        <v>4462</v>
      </c>
      <c r="H24" s="848">
        <f t="shared" si="1"/>
        <v>4000</v>
      </c>
    </row>
    <row r="25" spans="1:8" s="8" customFormat="1" ht="12.75" customHeight="1">
      <c r="A25" s="873" t="s">
        <v>3425</v>
      </c>
      <c r="B25" s="850" t="s">
        <v>3426</v>
      </c>
      <c r="C25" s="848">
        <v>6754</v>
      </c>
      <c r="D25" s="848">
        <v>6000</v>
      </c>
      <c r="E25" s="848">
        <v>987</v>
      </c>
      <c r="F25" s="848">
        <v>1000</v>
      </c>
      <c r="G25" s="871">
        <f t="shared" si="1"/>
        <v>7741</v>
      </c>
      <c r="H25" s="848">
        <f t="shared" si="1"/>
        <v>7000</v>
      </c>
    </row>
    <row r="26" spans="1:8" s="8" customFormat="1" ht="12.75" customHeight="1">
      <c r="A26" s="873" t="s">
        <v>3427</v>
      </c>
      <c r="B26" s="850" t="s">
        <v>3428</v>
      </c>
      <c r="C26" s="848">
        <v>6910</v>
      </c>
      <c r="D26" s="848">
        <v>7000</v>
      </c>
      <c r="E26" s="848">
        <v>1036</v>
      </c>
      <c r="F26" s="848">
        <v>1200</v>
      </c>
      <c r="G26" s="871">
        <f t="shared" si="1"/>
        <v>7946</v>
      </c>
      <c r="H26" s="848">
        <f t="shared" si="1"/>
        <v>8200</v>
      </c>
    </row>
    <row r="27" spans="1:8" s="8" customFormat="1" ht="12.75" customHeight="1">
      <c r="A27" s="873" t="s">
        <v>3429</v>
      </c>
      <c r="B27" s="387" t="s">
        <v>3430</v>
      </c>
      <c r="C27" s="848">
        <v>46562</v>
      </c>
      <c r="D27" s="848">
        <v>39500</v>
      </c>
      <c r="E27" s="848">
        <v>4083</v>
      </c>
      <c r="F27" s="848">
        <v>3500</v>
      </c>
      <c r="G27" s="871">
        <f t="shared" si="1"/>
        <v>50645</v>
      </c>
      <c r="H27" s="848">
        <f t="shared" si="1"/>
        <v>43000</v>
      </c>
    </row>
    <row r="28" spans="1:8" s="8" customFormat="1" ht="12.75" customHeight="1">
      <c r="A28" s="873" t="s">
        <v>3431</v>
      </c>
      <c r="B28" s="387" t="s">
        <v>3432</v>
      </c>
      <c r="C28" s="848">
        <v>1568</v>
      </c>
      <c r="D28" s="848">
        <v>1600</v>
      </c>
      <c r="E28" s="848">
        <v>541</v>
      </c>
      <c r="F28" s="848">
        <v>500</v>
      </c>
      <c r="G28" s="871">
        <f t="shared" si="1"/>
        <v>2109</v>
      </c>
      <c r="H28" s="848">
        <f t="shared" si="1"/>
        <v>2100</v>
      </c>
    </row>
    <row r="29" spans="1:8" s="8" customFormat="1" ht="12.75" customHeight="1">
      <c r="A29" s="870" t="s">
        <v>3433</v>
      </c>
      <c r="B29" s="846" t="s">
        <v>3434</v>
      </c>
      <c r="C29" s="848">
        <v>7103</v>
      </c>
      <c r="D29" s="848">
        <v>8000</v>
      </c>
      <c r="E29" s="848">
        <v>1162</v>
      </c>
      <c r="F29" s="848">
        <v>1000</v>
      </c>
      <c r="G29" s="871">
        <f t="shared" si="1"/>
        <v>8265</v>
      </c>
      <c r="H29" s="848">
        <f t="shared" si="1"/>
        <v>9000</v>
      </c>
    </row>
    <row r="30" spans="1:8" s="8" customFormat="1" ht="12.75" customHeight="1">
      <c r="A30" s="870" t="s">
        <v>3435</v>
      </c>
      <c r="B30" s="846" t="s">
        <v>3436</v>
      </c>
      <c r="C30" s="848">
        <v>46879</v>
      </c>
      <c r="D30" s="848">
        <v>47000</v>
      </c>
      <c r="E30" s="848">
        <v>5006</v>
      </c>
      <c r="F30" s="848">
        <v>5000</v>
      </c>
      <c r="G30" s="871">
        <f t="shared" si="1"/>
        <v>51885</v>
      </c>
      <c r="H30" s="848">
        <f t="shared" si="1"/>
        <v>52000</v>
      </c>
    </row>
    <row r="31" spans="1:8" s="8" customFormat="1" ht="12.75" customHeight="1">
      <c r="A31" s="870" t="s">
        <v>3437</v>
      </c>
      <c r="B31" s="846" t="s">
        <v>3438</v>
      </c>
      <c r="C31" s="848">
        <v>2378</v>
      </c>
      <c r="D31" s="848">
        <v>2500</v>
      </c>
      <c r="E31" s="848">
        <v>227</v>
      </c>
      <c r="F31" s="848">
        <v>500</v>
      </c>
      <c r="G31" s="871">
        <f t="shared" si="1"/>
        <v>2605</v>
      </c>
      <c r="H31" s="848">
        <f t="shared" si="1"/>
        <v>3000</v>
      </c>
    </row>
    <row r="32" spans="1:8" s="8" customFormat="1" ht="12.75" customHeight="1">
      <c r="A32" s="870" t="s">
        <v>3439</v>
      </c>
      <c r="B32" s="846" t="s">
        <v>3440</v>
      </c>
      <c r="C32" s="848">
        <v>7950</v>
      </c>
      <c r="D32" s="848">
        <v>8000</v>
      </c>
      <c r="E32" s="848">
        <v>1135</v>
      </c>
      <c r="F32" s="848">
        <v>1000</v>
      </c>
      <c r="G32" s="871">
        <f t="shared" si="1"/>
        <v>9085</v>
      </c>
      <c r="H32" s="848">
        <f t="shared" si="1"/>
        <v>9000</v>
      </c>
    </row>
    <row r="33" spans="1:8" s="8" customFormat="1" ht="12.75" customHeight="1">
      <c r="A33" s="870" t="s">
        <v>3441</v>
      </c>
      <c r="B33" s="846" t="s">
        <v>3442</v>
      </c>
      <c r="C33" s="848">
        <v>28441</v>
      </c>
      <c r="D33" s="848">
        <v>28000</v>
      </c>
      <c r="E33" s="848">
        <v>4658</v>
      </c>
      <c r="F33" s="848">
        <v>7000</v>
      </c>
      <c r="G33" s="871">
        <f t="shared" si="1"/>
        <v>33099</v>
      </c>
      <c r="H33" s="848">
        <f t="shared" si="1"/>
        <v>35000</v>
      </c>
    </row>
    <row r="34" spans="1:8" s="8" customFormat="1" ht="12.75" customHeight="1">
      <c r="A34" s="870" t="s">
        <v>3443</v>
      </c>
      <c r="B34" s="846" t="s">
        <v>3444</v>
      </c>
      <c r="C34" s="1324">
        <v>12789</v>
      </c>
      <c r="D34" s="1324">
        <v>11000</v>
      </c>
      <c r="E34" s="1324">
        <v>680</v>
      </c>
      <c r="F34" s="1324">
        <v>1000</v>
      </c>
      <c r="G34" s="871">
        <f t="shared" si="1"/>
        <v>13469</v>
      </c>
      <c r="H34" s="848">
        <f t="shared" si="1"/>
        <v>12000</v>
      </c>
    </row>
    <row r="35" spans="1:8" s="8" customFormat="1" ht="12.75" customHeight="1">
      <c r="A35" s="870" t="s">
        <v>3445</v>
      </c>
      <c r="B35" s="846" t="s">
        <v>3446</v>
      </c>
      <c r="C35" s="848">
        <v>18447</v>
      </c>
      <c r="D35" s="848">
        <v>16000</v>
      </c>
      <c r="E35" s="848">
        <v>1647</v>
      </c>
      <c r="F35" s="848">
        <v>3000</v>
      </c>
      <c r="G35" s="871">
        <f t="shared" si="1"/>
        <v>20094</v>
      </c>
      <c r="H35" s="848">
        <f t="shared" si="1"/>
        <v>19000</v>
      </c>
    </row>
    <row r="36" spans="1:8" s="8" customFormat="1" ht="12.75" customHeight="1">
      <c r="A36" s="870" t="s">
        <v>3447</v>
      </c>
      <c r="B36" s="846" t="s">
        <v>3448</v>
      </c>
      <c r="C36" s="848">
        <v>4550</v>
      </c>
      <c r="D36" s="848">
        <v>4500</v>
      </c>
      <c r="E36" s="848">
        <v>409</v>
      </c>
      <c r="F36" s="848">
        <v>500</v>
      </c>
      <c r="G36" s="871">
        <f t="shared" si="1"/>
        <v>4959</v>
      </c>
      <c r="H36" s="848">
        <f t="shared" si="1"/>
        <v>5000</v>
      </c>
    </row>
    <row r="37" spans="1:8" s="8" customFormat="1" ht="12.75" customHeight="1">
      <c r="A37" s="870" t="s">
        <v>3449</v>
      </c>
      <c r="B37" s="846" t="s">
        <v>4166</v>
      </c>
      <c r="C37" s="848">
        <v>4550</v>
      </c>
      <c r="D37" s="848">
        <v>4500</v>
      </c>
      <c r="E37" s="848">
        <v>409</v>
      </c>
      <c r="F37" s="848">
        <v>500</v>
      </c>
      <c r="G37" s="871">
        <f t="shared" si="1"/>
        <v>4959</v>
      </c>
      <c r="H37" s="848">
        <f t="shared" si="1"/>
        <v>5000</v>
      </c>
    </row>
    <row r="38" spans="1:8" s="8" customFormat="1" ht="12.75" customHeight="1">
      <c r="A38" s="873" t="s">
        <v>3450</v>
      </c>
      <c r="B38" s="387" t="s">
        <v>3451</v>
      </c>
      <c r="C38" s="848">
        <v>3897</v>
      </c>
      <c r="D38" s="848">
        <v>3300</v>
      </c>
      <c r="E38" s="848">
        <v>1273</v>
      </c>
      <c r="F38" s="848">
        <v>1200</v>
      </c>
      <c r="G38" s="871">
        <f t="shared" si="1"/>
        <v>5170</v>
      </c>
      <c r="H38" s="848">
        <f t="shared" si="1"/>
        <v>4500</v>
      </c>
    </row>
    <row r="39" spans="1:8" s="8" customFormat="1" ht="12.75" customHeight="1">
      <c r="A39" s="873" t="s">
        <v>3452</v>
      </c>
      <c r="B39" s="387" t="s">
        <v>3453</v>
      </c>
      <c r="C39" s="848">
        <v>0</v>
      </c>
      <c r="D39" s="848">
        <v>1</v>
      </c>
      <c r="E39" s="848">
        <v>0</v>
      </c>
      <c r="F39" s="848">
        <v>0</v>
      </c>
      <c r="G39" s="871">
        <f t="shared" si="1"/>
        <v>0</v>
      </c>
      <c r="H39" s="848">
        <f t="shared" si="1"/>
        <v>1</v>
      </c>
    </row>
    <row r="40" spans="1:8" s="8" customFormat="1" ht="12.75" customHeight="1">
      <c r="A40" s="870" t="s">
        <v>3454</v>
      </c>
      <c r="B40" s="846" t="s">
        <v>3455</v>
      </c>
      <c r="C40" s="848">
        <v>0</v>
      </c>
      <c r="D40" s="848">
        <v>1</v>
      </c>
      <c r="E40" s="848">
        <v>0</v>
      </c>
      <c r="F40" s="848">
        <v>0</v>
      </c>
      <c r="G40" s="871">
        <f t="shared" si="1"/>
        <v>0</v>
      </c>
      <c r="H40" s="848">
        <f t="shared" si="1"/>
        <v>1</v>
      </c>
    </row>
    <row r="41" spans="1:8" s="8" customFormat="1" ht="12.75" customHeight="1">
      <c r="A41" s="870" t="s">
        <v>3456</v>
      </c>
      <c r="B41" s="846" t="s">
        <v>3457</v>
      </c>
      <c r="C41" s="848">
        <v>12457</v>
      </c>
      <c r="D41" s="848">
        <v>10000</v>
      </c>
      <c r="E41" s="848">
        <v>1935</v>
      </c>
      <c r="F41" s="848">
        <v>4000</v>
      </c>
      <c r="G41" s="871">
        <f t="shared" si="1"/>
        <v>14392</v>
      </c>
      <c r="H41" s="848">
        <f t="shared" si="1"/>
        <v>14000</v>
      </c>
    </row>
    <row r="42" spans="1:8" s="8" customFormat="1" ht="12.75" customHeight="1">
      <c r="A42" s="870" t="s">
        <v>3458</v>
      </c>
      <c r="B42" s="846" t="s">
        <v>3459</v>
      </c>
      <c r="C42" s="848">
        <v>27361</v>
      </c>
      <c r="D42" s="848">
        <v>25500</v>
      </c>
      <c r="E42" s="848">
        <v>4749</v>
      </c>
      <c r="F42" s="848">
        <v>6000</v>
      </c>
      <c r="G42" s="871">
        <f t="shared" si="1"/>
        <v>32110</v>
      </c>
      <c r="H42" s="848">
        <f t="shared" si="1"/>
        <v>31500</v>
      </c>
    </row>
    <row r="43" spans="1:8" s="8" customFormat="1" ht="12.75" customHeight="1">
      <c r="A43" s="870" t="s">
        <v>3460</v>
      </c>
      <c r="B43" s="846" t="s">
        <v>3461</v>
      </c>
      <c r="C43" s="848">
        <v>41416</v>
      </c>
      <c r="D43" s="848">
        <v>41500</v>
      </c>
      <c r="E43" s="848">
        <v>3565</v>
      </c>
      <c r="F43" s="848">
        <v>3500</v>
      </c>
      <c r="G43" s="871">
        <f t="shared" si="1"/>
        <v>44981</v>
      </c>
      <c r="H43" s="848">
        <f t="shared" si="1"/>
        <v>45000</v>
      </c>
    </row>
    <row r="44" spans="1:8" s="8" customFormat="1" ht="12.75" customHeight="1">
      <c r="A44" s="870" t="s">
        <v>3462</v>
      </c>
      <c r="B44" s="846" t="s">
        <v>3463</v>
      </c>
      <c r="C44" s="848">
        <v>5146</v>
      </c>
      <c r="D44" s="848">
        <v>4800</v>
      </c>
      <c r="E44" s="848">
        <v>733</v>
      </c>
      <c r="F44" s="848">
        <v>1000</v>
      </c>
      <c r="G44" s="871">
        <f t="shared" si="1"/>
        <v>5879</v>
      </c>
      <c r="H44" s="848">
        <f t="shared" si="1"/>
        <v>5800</v>
      </c>
    </row>
    <row r="45" spans="1:8" s="8" customFormat="1" ht="12.75" customHeight="1">
      <c r="A45" s="870" t="s">
        <v>3464</v>
      </c>
      <c r="B45" s="387" t="s">
        <v>3465</v>
      </c>
      <c r="C45" s="848">
        <v>4706</v>
      </c>
      <c r="D45" s="848">
        <v>4500</v>
      </c>
      <c r="E45" s="848">
        <v>2038</v>
      </c>
      <c r="F45" s="848">
        <v>2000</v>
      </c>
      <c r="G45" s="871">
        <f t="shared" si="1"/>
        <v>6744</v>
      </c>
      <c r="H45" s="848">
        <f t="shared" si="1"/>
        <v>6500</v>
      </c>
    </row>
    <row r="46" spans="1:8" s="8" customFormat="1" ht="12.75" customHeight="1">
      <c r="A46" s="870" t="s">
        <v>3466</v>
      </c>
      <c r="B46" s="846" t="s">
        <v>3467</v>
      </c>
      <c r="C46" s="848">
        <v>0</v>
      </c>
      <c r="D46" s="848">
        <v>1</v>
      </c>
      <c r="E46" s="848">
        <v>0</v>
      </c>
      <c r="F46" s="848">
        <v>0</v>
      </c>
      <c r="G46" s="871">
        <f t="shared" si="1"/>
        <v>0</v>
      </c>
      <c r="H46" s="848">
        <f t="shared" si="1"/>
        <v>1</v>
      </c>
    </row>
    <row r="47" spans="1:8" s="8" customFormat="1" ht="12.75" customHeight="1">
      <c r="A47" s="870" t="s">
        <v>3468</v>
      </c>
      <c r="B47" s="846" t="s">
        <v>3469</v>
      </c>
      <c r="C47" s="848">
        <v>18249</v>
      </c>
      <c r="D47" s="848">
        <v>17000</v>
      </c>
      <c r="E47" s="848">
        <v>1583</v>
      </c>
      <c r="F47" s="848">
        <v>3000</v>
      </c>
      <c r="G47" s="871">
        <f t="shared" si="1"/>
        <v>19832</v>
      </c>
      <c r="H47" s="848">
        <f t="shared" si="1"/>
        <v>20000</v>
      </c>
    </row>
    <row r="48" spans="1:8" s="8" customFormat="1" ht="12.75" customHeight="1">
      <c r="A48" s="870" t="s">
        <v>3470</v>
      </c>
      <c r="B48" s="846" t="s">
        <v>3471</v>
      </c>
      <c r="C48" s="848">
        <v>27987</v>
      </c>
      <c r="D48" s="848">
        <v>25000</v>
      </c>
      <c r="E48" s="848">
        <v>4777</v>
      </c>
      <c r="F48" s="848">
        <v>6000</v>
      </c>
      <c r="G48" s="871">
        <f t="shared" si="1"/>
        <v>32764</v>
      </c>
      <c r="H48" s="848">
        <f t="shared" si="1"/>
        <v>31000</v>
      </c>
    </row>
    <row r="49" spans="1:8" s="8" customFormat="1" ht="12.75" customHeight="1">
      <c r="A49" s="870" t="s">
        <v>3472</v>
      </c>
      <c r="B49" s="846" t="s">
        <v>3473</v>
      </c>
      <c r="C49" s="848">
        <v>0</v>
      </c>
      <c r="D49" s="848">
        <v>1</v>
      </c>
      <c r="E49" s="848">
        <v>0</v>
      </c>
      <c r="F49" s="848">
        <v>0</v>
      </c>
      <c r="G49" s="871">
        <f t="shared" si="1"/>
        <v>0</v>
      </c>
      <c r="H49" s="848">
        <f t="shared" si="1"/>
        <v>1</v>
      </c>
    </row>
    <row r="50" spans="1:8" s="8" customFormat="1" ht="12.75" customHeight="1">
      <c r="A50" s="870" t="s">
        <v>3474</v>
      </c>
      <c r="B50" s="846" t="s">
        <v>3475</v>
      </c>
      <c r="C50" s="848">
        <v>0</v>
      </c>
      <c r="D50" s="848">
        <v>1</v>
      </c>
      <c r="E50" s="848">
        <v>0</v>
      </c>
      <c r="F50" s="848">
        <v>0</v>
      </c>
      <c r="G50" s="871">
        <f t="shared" si="1"/>
        <v>0</v>
      </c>
      <c r="H50" s="848">
        <f t="shared" si="1"/>
        <v>1</v>
      </c>
    </row>
    <row r="51" spans="1:8" s="8" customFormat="1" ht="12.75" customHeight="1">
      <c r="A51" s="870" t="s">
        <v>3476</v>
      </c>
      <c r="B51" s="846" t="s">
        <v>3477</v>
      </c>
      <c r="C51" s="848">
        <v>0</v>
      </c>
      <c r="D51" s="848">
        <v>700</v>
      </c>
      <c r="E51" s="848">
        <v>0</v>
      </c>
      <c r="F51" s="848">
        <v>50</v>
      </c>
      <c r="G51" s="871">
        <f t="shared" si="1"/>
        <v>0</v>
      </c>
      <c r="H51" s="848">
        <f t="shared" si="1"/>
        <v>750</v>
      </c>
    </row>
    <row r="52" spans="1:8" s="8" customFormat="1" ht="12.75" customHeight="1">
      <c r="A52" s="1605" t="s">
        <v>4167</v>
      </c>
      <c r="B52" s="1606" t="s">
        <v>4168</v>
      </c>
      <c r="C52" s="1607"/>
      <c r="D52" s="1607">
        <v>1800</v>
      </c>
      <c r="E52" s="1607"/>
      <c r="F52" s="1607">
        <v>200</v>
      </c>
      <c r="G52" s="1608">
        <f>SUM(C52+E52)</f>
        <v>0</v>
      </c>
      <c r="H52" s="1607">
        <f t="shared" si="1"/>
        <v>2000</v>
      </c>
    </row>
    <row r="53" spans="1:8" s="8" customFormat="1" ht="12.75" customHeight="1">
      <c r="A53" s="371" t="s">
        <v>2129</v>
      </c>
      <c r="B53" s="851" t="s">
        <v>3478</v>
      </c>
      <c r="C53" s="848">
        <v>609</v>
      </c>
      <c r="D53" s="848">
        <v>1200</v>
      </c>
      <c r="E53" s="848">
        <v>86</v>
      </c>
      <c r="F53" s="848">
        <v>300</v>
      </c>
      <c r="G53" s="848">
        <f t="shared" si="1"/>
        <v>695</v>
      </c>
      <c r="H53" s="848">
        <f t="shared" si="1"/>
        <v>1500</v>
      </c>
    </row>
    <row r="54" spans="1:8" s="8" customFormat="1" ht="12.75" customHeight="1">
      <c r="A54" s="371" t="s">
        <v>3479</v>
      </c>
      <c r="B54" s="851" t="s">
        <v>4032</v>
      </c>
      <c r="C54" s="848">
        <v>880</v>
      </c>
      <c r="D54" s="848">
        <v>800</v>
      </c>
      <c r="E54" s="848">
        <v>588</v>
      </c>
      <c r="F54" s="848">
        <v>700</v>
      </c>
      <c r="G54" s="848">
        <f t="shared" si="1"/>
        <v>1468</v>
      </c>
      <c r="H54" s="848">
        <f t="shared" si="1"/>
        <v>1500</v>
      </c>
    </row>
    <row r="55" spans="1:8" s="8" customFormat="1" ht="12.75" customHeight="1">
      <c r="A55" s="371" t="s">
        <v>3480</v>
      </c>
      <c r="B55" s="851" t="s">
        <v>3481</v>
      </c>
      <c r="C55" s="848">
        <v>7041</v>
      </c>
      <c r="D55" s="848">
        <v>7000</v>
      </c>
      <c r="E55" s="848">
        <v>3032</v>
      </c>
      <c r="F55" s="848">
        <v>3000</v>
      </c>
      <c r="G55" s="848">
        <f t="shared" si="1"/>
        <v>10073</v>
      </c>
      <c r="H55" s="848">
        <f t="shared" si="1"/>
        <v>10000</v>
      </c>
    </row>
    <row r="56" spans="1:8" s="8" customFormat="1" ht="12.75" customHeight="1">
      <c r="A56" s="371" t="s">
        <v>3482</v>
      </c>
      <c r="B56" s="851" t="s">
        <v>3483</v>
      </c>
      <c r="C56" s="848">
        <v>7005</v>
      </c>
      <c r="D56" s="848">
        <v>7000</v>
      </c>
      <c r="E56" s="848">
        <v>3013</v>
      </c>
      <c r="F56" s="848">
        <v>3000</v>
      </c>
      <c r="G56" s="848">
        <f t="shared" si="1"/>
        <v>10018</v>
      </c>
      <c r="H56" s="848">
        <f t="shared" si="1"/>
        <v>10000</v>
      </c>
    </row>
    <row r="57" spans="1:8" s="8" customFormat="1" ht="12.75" customHeight="1">
      <c r="A57" s="371" t="s">
        <v>3484</v>
      </c>
      <c r="B57" s="851" t="s">
        <v>3485</v>
      </c>
      <c r="C57" s="848">
        <v>1947</v>
      </c>
      <c r="D57" s="848">
        <v>2000</v>
      </c>
      <c r="E57" s="848">
        <v>401</v>
      </c>
      <c r="F57" s="848">
        <v>500</v>
      </c>
      <c r="G57" s="848">
        <f t="shared" si="1"/>
        <v>2348</v>
      </c>
      <c r="H57" s="848">
        <f t="shared" si="1"/>
        <v>2500</v>
      </c>
    </row>
    <row r="58" spans="1:8" s="8" customFormat="1" ht="12.75" customHeight="1">
      <c r="A58" s="371" t="s">
        <v>3486</v>
      </c>
      <c r="B58" s="851" t="s">
        <v>3487</v>
      </c>
      <c r="C58" s="848">
        <v>483</v>
      </c>
      <c r="D58" s="848">
        <v>900</v>
      </c>
      <c r="E58" s="848">
        <v>164</v>
      </c>
      <c r="F58" s="848">
        <v>200</v>
      </c>
      <c r="G58" s="848">
        <f t="shared" si="1"/>
        <v>647</v>
      </c>
      <c r="H58" s="848">
        <f t="shared" si="1"/>
        <v>1100</v>
      </c>
    </row>
    <row r="59" spans="1:8" s="8" customFormat="1" ht="12.75" customHeight="1">
      <c r="A59" s="371" t="s">
        <v>3488</v>
      </c>
      <c r="B59" s="851" t="s">
        <v>4050</v>
      </c>
      <c r="C59" s="848">
        <v>2272</v>
      </c>
      <c r="D59" s="848">
        <v>2400</v>
      </c>
      <c r="E59" s="848">
        <v>115</v>
      </c>
      <c r="F59" s="848">
        <v>300</v>
      </c>
      <c r="G59" s="848">
        <f t="shared" si="1"/>
        <v>2387</v>
      </c>
      <c r="H59" s="848">
        <f t="shared" si="1"/>
        <v>2700</v>
      </c>
    </row>
    <row r="60" spans="1:8" s="8" customFormat="1" ht="12" customHeight="1">
      <c r="A60" s="1680" t="s">
        <v>3950</v>
      </c>
      <c r="B60" s="1678" t="s">
        <v>3951</v>
      </c>
      <c r="C60" s="1681">
        <v>0</v>
      </c>
      <c r="D60" s="1679">
        <v>0</v>
      </c>
      <c r="E60" s="1679">
        <v>0</v>
      </c>
      <c r="F60" s="1679">
        <v>700</v>
      </c>
      <c r="G60" s="1679">
        <f t="shared" si="1"/>
        <v>0</v>
      </c>
      <c r="H60" s="1679">
        <f t="shared" si="1"/>
        <v>700</v>
      </c>
    </row>
    <row r="61" spans="1:8" s="874" customFormat="1" ht="12" customHeight="1">
      <c r="A61" s="1127" t="s">
        <v>3489</v>
      </c>
      <c r="B61" s="1127" t="s">
        <v>3490</v>
      </c>
      <c r="C61" s="1681">
        <v>0</v>
      </c>
      <c r="D61" s="1679">
        <v>0</v>
      </c>
      <c r="E61" s="1679">
        <v>0</v>
      </c>
      <c r="F61" s="1679">
        <v>700</v>
      </c>
      <c r="G61" s="1679">
        <f t="shared" si="1"/>
        <v>0</v>
      </c>
      <c r="H61" s="1679">
        <f t="shared" si="1"/>
        <v>700</v>
      </c>
    </row>
    <row r="62" spans="1:8" s="874" customFormat="1">
      <c r="A62" s="1127" t="s">
        <v>3491</v>
      </c>
      <c r="B62" s="1127" t="s">
        <v>3492</v>
      </c>
      <c r="C62" s="1681">
        <v>0</v>
      </c>
      <c r="D62" s="1679">
        <v>0</v>
      </c>
      <c r="E62" s="1679">
        <v>0</v>
      </c>
      <c r="F62" s="1679">
        <v>700</v>
      </c>
      <c r="G62" s="1679">
        <f t="shared" si="1"/>
        <v>0</v>
      </c>
      <c r="H62" s="1679">
        <f t="shared" si="1"/>
        <v>700</v>
      </c>
    </row>
    <row r="63" spans="1:8" s="874" customFormat="1" ht="12" customHeight="1">
      <c r="A63" s="1127" t="s">
        <v>3493</v>
      </c>
      <c r="B63" s="1127" t="s">
        <v>3494</v>
      </c>
      <c r="C63" s="1681">
        <v>0</v>
      </c>
      <c r="D63" s="1679">
        <v>0</v>
      </c>
      <c r="E63" s="1679">
        <v>0</v>
      </c>
      <c r="F63" s="1679">
        <v>700</v>
      </c>
      <c r="G63" s="1679">
        <f t="shared" si="1"/>
        <v>0</v>
      </c>
      <c r="H63" s="1679">
        <f t="shared" si="1"/>
        <v>700</v>
      </c>
    </row>
    <row r="64" spans="1:8" s="874" customFormat="1" ht="12" customHeight="1">
      <c r="A64" s="1127" t="s">
        <v>3952</v>
      </c>
      <c r="B64" s="1127" t="s">
        <v>3495</v>
      </c>
      <c r="C64" s="1681">
        <v>0</v>
      </c>
      <c r="D64" s="1679">
        <v>0</v>
      </c>
      <c r="E64" s="1679">
        <v>0</v>
      </c>
      <c r="F64" s="1679">
        <v>700</v>
      </c>
      <c r="G64" s="1679">
        <f t="shared" si="1"/>
        <v>0</v>
      </c>
      <c r="H64" s="1679">
        <f t="shared" si="1"/>
        <v>700</v>
      </c>
    </row>
    <row r="65" spans="1:8" s="874" customFormat="1" ht="27.75" customHeight="1">
      <c r="A65" s="1127" t="s">
        <v>3953</v>
      </c>
      <c r="B65" s="1127" t="s">
        <v>3954</v>
      </c>
      <c r="C65" s="1681">
        <v>0</v>
      </c>
      <c r="D65" s="1679">
        <v>0</v>
      </c>
      <c r="E65" s="1679">
        <v>0</v>
      </c>
      <c r="F65" s="1679">
        <v>700</v>
      </c>
      <c r="G65" s="1679">
        <f t="shared" si="1"/>
        <v>0</v>
      </c>
      <c r="H65" s="1679">
        <f t="shared" si="1"/>
        <v>700</v>
      </c>
    </row>
    <row r="66" spans="1:8" s="874" customFormat="1" ht="24.75" customHeight="1">
      <c r="A66" s="1677" t="s">
        <v>3858</v>
      </c>
      <c r="B66" s="1678" t="s">
        <v>3854</v>
      </c>
      <c r="C66" s="1679">
        <v>2107</v>
      </c>
      <c r="D66" s="1679">
        <v>1500</v>
      </c>
      <c r="E66" s="1679">
        <v>0</v>
      </c>
      <c r="F66" s="1679">
        <v>100</v>
      </c>
      <c r="G66" s="1679">
        <f t="shared" si="1"/>
        <v>2107</v>
      </c>
      <c r="H66" s="1679">
        <f t="shared" si="1"/>
        <v>1600</v>
      </c>
    </row>
    <row r="67" spans="1:8" s="874" customFormat="1" ht="22.5" customHeight="1">
      <c r="A67" s="1677" t="s">
        <v>3859</v>
      </c>
      <c r="B67" s="1678" t="s">
        <v>3855</v>
      </c>
      <c r="C67" s="1679">
        <v>0</v>
      </c>
      <c r="D67" s="1679">
        <v>100</v>
      </c>
      <c r="E67" s="1679">
        <v>0</v>
      </c>
      <c r="F67" s="1679">
        <v>100</v>
      </c>
      <c r="G67" s="1679">
        <f t="shared" ref="G67:H82" si="2">C67+E67</f>
        <v>0</v>
      </c>
      <c r="H67" s="1679">
        <f t="shared" si="2"/>
        <v>200</v>
      </c>
    </row>
    <row r="68" spans="1:8" s="874" customFormat="1" ht="25.5" customHeight="1">
      <c r="A68" s="1677" t="s">
        <v>3856</v>
      </c>
      <c r="B68" s="1678" t="s">
        <v>3857</v>
      </c>
      <c r="C68" s="1679">
        <v>44</v>
      </c>
      <c r="D68" s="1679">
        <v>1000</v>
      </c>
      <c r="E68" s="1679">
        <v>8</v>
      </c>
      <c r="F68" s="1679">
        <v>200</v>
      </c>
      <c r="G68" s="1679">
        <f t="shared" si="2"/>
        <v>52</v>
      </c>
      <c r="H68" s="1679">
        <f t="shared" si="2"/>
        <v>1200</v>
      </c>
    </row>
    <row r="69" spans="1:8" s="874" customFormat="1" ht="24" customHeight="1">
      <c r="A69" s="1258" t="s">
        <v>3860</v>
      </c>
      <c r="B69" s="1259" t="s">
        <v>3861</v>
      </c>
      <c r="C69" s="1679">
        <v>0</v>
      </c>
      <c r="D69" s="1679">
        <v>500</v>
      </c>
      <c r="E69" s="1679">
        <v>0</v>
      </c>
      <c r="F69" s="1679">
        <v>100</v>
      </c>
      <c r="G69" s="1679">
        <f t="shared" si="2"/>
        <v>0</v>
      </c>
      <c r="H69" s="1679">
        <f t="shared" si="2"/>
        <v>600</v>
      </c>
    </row>
    <row r="70" spans="1:8" s="874" customFormat="1" ht="23.25" customHeight="1">
      <c r="A70" s="1258" t="s">
        <v>3862</v>
      </c>
      <c r="B70" s="1259" t="s">
        <v>3864</v>
      </c>
      <c r="C70" s="1679">
        <v>22700</v>
      </c>
      <c r="D70" s="1679">
        <v>18500</v>
      </c>
      <c r="E70" s="1679">
        <v>1763</v>
      </c>
      <c r="F70" s="1679">
        <v>1500</v>
      </c>
      <c r="G70" s="1679">
        <f t="shared" si="2"/>
        <v>24463</v>
      </c>
      <c r="H70" s="1679">
        <f t="shared" si="2"/>
        <v>20000</v>
      </c>
    </row>
    <row r="71" spans="1:8" s="874" customFormat="1" ht="24.75" customHeight="1">
      <c r="A71" s="1258" t="s">
        <v>3863</v>
      </c>
      <c r="B71" s="1259" t="s">
        <v>3865</v>
      </c>
      <c r="C71" s="1679">
        <v>22700</v>
      </c>
      <c r="D71" s="1679">
        <v>18500</v>
      </c>
      <c r="E71" s="1679">
        <v>1763</v>
      </c>
      <c r="F71" s="1679">
        <v>1500</v>
      </c>
      <c r="G71" s="1679">
        <f t="shared" si="2"/>
        <v>24463</v>
      </c>
      <c r="H71" s="1679">
        <f t="shared" si="2"/>
        <v>20000</v>
      </c>
    </row>
    <row r="72" spans="1:8" s="8" customFormat="1" ht="38.25">
      <c r="A72" s="1258" t="s">
        <v>3955</v>
      </c>
      <c r="B72" s="1259" t="s">
        <v>3956</v>
      </c>
      <c r="C72" s="1679">
        <v>0</v>
      </c>
      <c r="D72" s="1679">
        <v>500</v>
      </c>
      <c r="E72" s="1679">
        <v>0</v>
      </c>
      <c r="F72" s="1679">
        <v>100</v>
      </c>
      <c r="G72" s="1679">
        <f t="shared" si="2"/>
        <v>0</v>
      </c>
      <c r="H72" s="1679">
        <f t="shared" si="2"/>
        <v>600</v>
      </c>
    </row>
    <row r="73" spans="1:8" s="8" customFormat="1">
      <c r="A73" s="329" t="s">
        <v>244</v>
      </c>
      <c r="B73" s="329"/>
      <c r="C73" s="852">
        <v>27831</v>
      </c>
      <c r="D73" s="852">
        <v>22000</v>
      </c>
      <c r="E73" s="852">
        <v>2354</v>
      </c>
      <c r="F73" s="852">
        <v>2500</v>
      </c>
      <c r="G73" s="852">
        <f t="shared" si="2"/>
        <v>30185</v>
      </c>
      <c r="H73" s="852">
        <f t="shared" si="2"/>
        <v>24500</v>
      </c>
    </row>
    <row r="74" spans="1:8" s="8" customFormat="1">
      <c r="A74" s="329" t="s">
        <v>245</v>
      </c>
      <c r="B74" s="329"/>
      <c r="C74" s="852">
        <v>33571</v>
      </c>
      <c r="D74" s="852">
        <v>26000</v>
      </c>
      <c r="E74" s="852">
        <v>2761</v>
      </c>
      <c r="F74" s="852">
        <v>3000</v>
      </c>
      <c r="G74" s="852">
        <f t="shared" si="2"/>
        <v>36332</v>
      </c>
      <c r="H74" s="852">
        <f t="shared" si="2"/>
        <v>29000</v>
      </c>
    </row>
    <row r="75" spans="1:8" s="8" customFormat="1" ht="15" customHeight="1">
      <c r="A75" s="864"/>
      <c r="B75" s="875" t="s">
        <v>3496</v>
      </c>
      <c r="C75" s="876">
        <f>SUM(C76:C97)</f>
        <v>10409</v>
      </c>
      <c r="D75" s="876">
        <f>SUM(D76:D91)</f>
        <v>10982</v>
      </c>
      <c r="E75" s="876">
        <f>SUM(E76:E97)</f>
        <v>1007</v>
      </c>
      <c r="F75" s="876">
        <f>SUM(F76:F91)</f>
        <v>2470</v>
      </c>
      <c r="G75" s="876">
        <f t="shared" si="2"/>
        <v>11416</v>
      </c>
      <c r="H75" s="876">
        <f t="shared" si="2"/>
        <v>13452</v>
      </c>
    </row>
    <row r="76" spans="1:8" s="8" customFormat="1" ht="12.75" customHeight="1">
      <c r="A76" s="877" t="s">
        <v>3497</v>
      </c>
      <c r="B76" s="878" t="s">
        <v>3498</v>
      </c>
      <c r="C76" s="848">
        <v>2697</v>
      </c>
      <c r="D76" s="848">
        <v>2300</v>
      </c>
      <c r="E76" s="848">
        <v>208</v>
      </c>
      <c r="F76" s="848">
        <v>200</v>
      </c>
      <c r="G76" s="848">
        <f t="shared" si="2"/>
        <v>2905</v>
      </c>
      <c r="H76" s="848">
        <f t="shared" si="2"/>
        <v>2500</v>
      </c>
    </row>
    <row r="77" spans="1:8" s="8" customFormat="1" ht="12.75" customHeight="1">
      <c r="A77" s="879" t="s">
        <v>3499</v>
      </c>
      <c r="B77" s="387" t="s">
        <v>3500</v>
      </c>
      <c r="C77" s="848">
        <v>0</v>
      </c>
      <c r="D77" s="848">
        <v>1</v>
      </c>
      <c r="E77" s="848">
        <v>0</v>
      </c>
      <c r="F77" s="848">
        <v>0</v>
      </c>
      <c r="G77" s="848">
        <f t="shared" si="2"/>
        <v>0</v>
      </c>
      <c r="H77" s="848">
        <f t="shared" si="2"/>
        <v>1</v>
      </c>
    </row>
    <row r="78" spans="1:8" s="8" customFormat="1" ht="12.75" customHeight="1">
      <c r="A78" s="879" t="s">
        <v>3501</v>
      </c>
      <c r="B78" s="387" t="s">
        <v>3502</v>
      </c>
      <c r="C78" s="848">
        <v>2350</v>
      </c>
      <c r="D78" s="848">
        <v>2300</v>
      </c>
      <c r="E78" s="848">
        <v>173</v>
      </c>
      <c r="F78" s="848">
        <v>200</v>
      </c>
      <c r="G78" s="848">
        <f t="shared" si="2"/>
        <v>2523</v>
      </c>
      <c r="H78" s="848">
        <f t="shared" si="2"/>
        <v>2500</v>
      </c>
    </row>
    <row r="79" spans="1:8" s="8" customFormat="1" ht="12.75" customHeight="1">
      <c r="A79" s="879" t="s">
        <v>3503</v>
      </c>
      <c r="B79" s="387" t="s">
        <v>3504</v>
      </c>
      <c r="C79" s="848">
        <v>1134</v>
      </c>
      <c r="D79" s="848">
        <v>1600</v>
      </c>
      <c r="E79" s="848">
        <v>68</v>
      </c>
      <c r="F79" s="848">
        <v>200</v>
      </c>
      <c r="G79" s="848">
        <f t="shared" si="2"/>
        <v>1202</v>
      </c>
      <c r="H79" s="848">
        <f t="shared" si="2"/>
        <v>1800</v>
      </c>
    </row>
    <row r="80" spans="1:8" s="8" customFormat="1" ht="12.75" customHeight="1">
      <c r="A80" s="879" t="s">
        <v>3505</v>
      </c>
      <c r="B80" s="387" t="s">
        <v>3506</v>
      </c>
      <c r="C80" s="848">
        <v>263</v>
      </c>
      <c r="D80" s="848">
        <v>400</v>
      </c>
      <c r="E80" s="848">
        <v>33</v>
      </c>
      <c r="F80" s="848">
        <v>200</v>
      </c>
      <c r="G80" s="848">
        <f t="shared" si="2"/>
        <v>296</v>
      </c>
      <c r="H80" s="848">
        <f t="shared" si="2"/>
        <v>600</v>
      </c>
    </row>
    <row r="81" spans="1:8" s="8" customFormat="1" ht="12.75" customHeight="1">
      <c r="A81" s="879" t="s">
        <v>3507</v>
      </c>
      <c r="B81" s="387" t="s">
        <v>3508</v>
      </c>
      <c r="C81" s="848">
        <v>112</v>
      </c>
      <c r="D81" s="848">
        <v>180</v>
      </c>
      <c r="E81" s="848">
        <v>12</v>
      </c>
      <c r="F81" s="848">
        <v>20</v>
      </c>
      <c r="G81" s="848">
        <f t="shared" si="2"/>
        <v>124</v>
      </c>
      <c r="H81" s="848">
        <f t="shared" si="2"/>
        <v>200</v>
      </c>
    </row>
    <row r="82" spans="1:8" s="8" customFormat="1" ht="12.75" customHeight="1">
      <c r="A82" s="879" t="s">
        <v>3509</v>
      </c>
      <c r="B82" s="387" t="s">
        <v>3510</v>
      </c>
      <c r="C82" s="848">
        <v>179</v>
      </c>
      <c r="D82" s="848">
        <v>300</v>
      </c>
      <c r="E82" s="848">
        <v>32</v>
      </c>
      <c r="F82" s="848">
        <v>100</v>
      </c>
      <c r="G82" s="848">
        <f t="shared" si="2"/>
        <v>211</v>
      </c>
      <c r="H82" s="848">
        <f t="shared" si="2"/>
        <v>400</v>
      </c>
    </row>
    <row r="83" spans="1:8" s="8" customFormat="1" ht="12.75" customHeight="1">
      <c r="A83" s="879" t="s">
        <v>3511</v>
      </c>
      <c r="B83" s="387" t="s">
        <v>3512</v>
      </c>
      <c r="C83" s="848">
        <v>302</v>
      </c>
      <c r="D83" s="848">
        <v>300</v>
      </c>
      <c r="E83" s="848">
        <v>32</v>
      </c>
      <c r="F83" s="848">
        <v>100</v>
      </c>
      <c r="G83" s="848">
        <f t="shared" ref="G83:H97" si="3">C83+E83</f>
        <v>334</v>
      </c>
      <c r="H83" s="848">
        <f t="shared" si="3"/>
        <v>400</v>
      </c>
    </row>
    <row r="84" spans="1:8" s="8" customFormat="1" ht="12.75" customHeight="1">
      <c r="A84" s="879" t="s">
        <v>3513</v>
      </c>
      <c r="B84" s="387" t="s">
        <v>3514</v>
      </c>
      <c r="C84" s="848">
        <v>172</v>
      </c>
      <c r="D84" s="848">
        <v>200</v>
      </c>
      <c r="E84" s="848">
        <v>10</v>
      </c>
      <c r="F84" s="848">
        <v>50</v>
      </c>
      <c r="G84" s="848">
        <f t="shared" si="3"/>
        <v>182</v>
      </c>
      <c r="H84" s="848">
        <f t="shared" si="3"/>
        <v>250</v>
      </c>
    </row>
    <row r="85" spans="1:8" s="8" customFormat="1" ht="12.75" customHeight="1">
      <c r="A85" s="879" t="s">
        <v>3515</v>
      </c>
      <c r="B85" s="387" t="s">
        <v>3516</v>
      </c>
      <c r="C85" s="848">
        <v>1843</v>
      </c>
      <c r="D85" s="848">
        <v>2000</v>
      </c>
      <c r="E85" s="848">
        <v>69</v>
      </c>
      <c r="F85" s="848">
        <v>200</v>
      </c>
      <c r="G85" s="848">
        <f t="shared" si="3"/>
        <v>1912</v>
      </c>
      <c r="H85" s="848">
        <f t="shared" si="3"/>
        <v>2200</v>
      </c>
    </row>
    <row r="86" spans="1:8" s="8" customFormat="1" ht="12.75" customHeight="1">
      <c r="A86" s="879" t="s">
        <v>3517</v>
      </c>
      <c r="B86" s="387" t="s">
        <v>3518</v>
      </c>
      <c r="C86" s="848">
        <v>388</v>
      </c>
      <c r="D86" s="848">
        <v>400</v>
      </c>
      <c r="E86" s="848">
        <v>27</v>
      </c>
      <c r="F86" s="848">
        <v>50</v>
      </c>
      <c r="G86" s="848">
        <f t="shared" si="3"/>
        <v>415</v>
      </c>
      <c r="H86" s="848">
        <f t="shared" si="3"/>
        <v>450</v>
      </c>
    </row>
    <row r="87" spans="1:8" s="8" customFormat="1" ht="12.75" customHeight="1">
      <c r="A87" s="879" t="s">
        <v>3519</v>
      </c>
      <c r="B87" s="387" t="s">
        <v>3520</v>
      </c>
      <c r="C87" s="848">
        <v>0</v>
      </c>
      <c r="D87" s="848">
        <v>0</v>
      </c>
      <c r="E87" s="848">
        <v>0</v>
      </c>
      <c r="F87" s="848">
        <v>0</v>
      </c>
      <c r="G87" s="848">
        <f t="shared" si="3"/>
        <v>0</v>
      </c>
      <c r="H87" s="848">
        <f t="shared" si="3"/>
        <v>0</v>
      </c>
    </row>
    <row r="88" spans="1:8" s="8" customFormat="1" ht="12.75" customHeight="1">
      <c r="A88" s="879" t="s">
        <v>3521</v>
      </c>
      <c r="B88" s="387" t="s">
        <v>3522</v>
      </c>
      <c r="C88" s="848">
        <v>408</v>
      </c>
      <c r="D88" s="848">
        <v>500</v>
      </c>
      <c r="E88" s="848">
        <v>335</v>
      </c>
      <c r="F88" s="848">
        <v>1000</v>
      </c>
      <c r="G88" s="848">
        <f t="shared" si="3"/>
        <v>743</v>
      </c>
      <c r="H88" s="848">
        <f t="shared" si="3"/>
        <v>1500</v>
      </c>
    </row>
    <row r="89" spans="1:8" s="8" customFormat="1" ht="12.75" customHeight="1">
      <c r="A89" s="879" t="s">
        <v>3523</v>
      </c>
      <c r="B89" s="387" t="s">
        <v>3524</v>
      </c>
      <c r="C89" s="848">
        <v>0</v>
      </c>
      <c r="D89" s="848">
        <v>1</v>
      </c>
      <c r="E89" s="848">
        <v>0</v>
      </c>
      <c r="F89" s="848">
        <v>0</v>
      </c>
      <c r="G89" s="848">
        <f t="shared" si="3"/>
        <v>0</v>
      </c>
      <c r="H89" s="848">
        <f t="shared" si="3"/>
        <v>1</v>
      </c>
    </row>
    <row r="90" spans="1:8" s="8" customFormat="1" ht="12.75" customHeight="1">
      <c r="A90" s="858" t="s">
        <v>3525</v>
      </c>
      <c r="B90" s="853" t="s">
        <v>3526</v>
      </c>
      <c r="C90" s="848">
        <v>372</v>
      </c>
      <c r="D90" s="848">
        <v>350</v>
      </c>
      <c r="E90" s="848">
        <v>7</v>
      </c>
      <c r="F90" s="848">
        <v>100</v>
      </c>
      <c r="G90" s="848">
        <f t="shared" si="3"/>
        <v>379</v>
      </c>
      <c r="H90" s="848">
        <f t="shared" si="3"/>
        <v>450</v>
      </c>
    </row>
    <row r="91" spans="1:8" s="8" customFormat="1" ht="12.75" customHeight="1">
      <c r="A91" s="858" t="s">
        <v>3527</v>
      </c>
      <c r="B91" s="853" t="s">
        <v>3528</v>
      </c>
      <c r="C91" s="848">
        <v>189</v>
      </c>
      <c r="D91" s="848">
        <v>150</v>
      </c>
      <c r="E91" s="848">
        <v>1</v>
      </c>
      <c r="F91" s="848">
        <v>50</v>
      </c>
      <c r="G91" s="848">
        <f t="shared" si="3"/>
        <v>190</v>
      </c>
      <c r="H91" s="848">
        <f t="shared" si="3"/>
        <v>200</v>
      </c>
    </row>
    <row r="92" spans="1:8" s="8" customFormat="1" ht="12.75" customHeight="1">
      <c r="A92" s="1609" t="s">
        <v>4169</v>
      </c>
      <c r="B92" s="1610" t="s">
        <v>4170</v>
      </c>
      <c r="C92" s="1607"/>
      <c r="D92" s="1607">
        <v>150</v>
      </c>
      <c r="E92" s="1607"/>
      <c r="F92" s="1607">
        <v>50</v>
      </c>
      <c r="G92" s="1607">
        <f t="shared" si="3"/>
        <v>0</v>
      </c>
      <c r="H92" s="1607">
        <f t="shared" si="3"/>
        <v>200</v>
      </c>
    </row>
    <row r="93" spans="1:8" s="8" customFormat="1" ht="12.75" customHeight="1">
      <c r="A93" s="1611" t="s">
        <v>4171</v>
      </c>
      <c r="B93" s="1610" t="s">
        <v>4172</v>
      </c>
      <c r="C93" s="1607"/>
      <c r="D93" s="1607">
        <v>150</v>
      </c>
      <c r="E93" s="1607"/>
      <c r="F93" s="1607">
        <v>50</v>
      </c>
      <c r="G93" s="1607">
        <f t="shared" si="3"/>
        <v>0</v>
      </c>
      <c r="H93" s="1607">
        <f t="shared" si="3"/>
        <v>200</v>
      </c>
    </row>
    <row r="94" spans="1:8" s="8" customFormat="1" ht="12.75" customHeight="1">
      <c r="A94" s="1609" t="s">
        <v>4173</v>
      </c>
      <c r="B94" s="1610" t="s">
        <v>4174</v>
      </c>
      <c r="C94" s="1607"/>
      <c r="D94" s="1607">
        <v>150</v>
      </c>
      <c r="E94" s="1607"/>
      <c r="F94" s="1607">
        <v>50</v>
      </c>
      <c r="G94" s="1607">
        <f t="shared" si="3"/>
        <v>0</v>
      </c>
      <c r="H94" s="1607">
        <f t="shared" si="3"/>
        <v>200</v>
      </c>
    </row>
    <row r="95" spans="1:8" s="8" customFormat="1" ht="12.75" customHeight="1">
      <c r="A95" s="1609" t="s">
        <v>4175</v>
      </c>
      <c r="B95" s="1610" t="s">
        <v>4176</v>
      </c>
      <c r="C95" s="1607"/>
      <c r="D95" s="1607">
        <v>150</v>
      </c>
      <c r="E95" s="1607"/>
      <c r="F95" s="1607">
        <v>50</v>
      </c>
      <c r="G95" s="1607">
        <f t="shared" si="3"/>
        <v>0</v>
      </c>
      <c r="H95" s="1607">
        <f t="shared" si="3"/>
        <v>200</v>
      </c>
    </row>
    <row r="96" spans="1:8" s="8" customFormat="1" ht="12.75" customHeight="1">
      <c r="A96" s="1609" t="s">
        <v>4177</v>
      </c>
      <c r="B96" s="1610" t="s">
        <v>4178</v>
      </c>
      <c r="C96" s="1607"/>
      <c r="D96" s="1607">
        <v>150</v>
      </c>
      <c r="E96" s="1607"/>
      <c r="F96" s="1607">
        <v>50</v>
      </c>
      <c r="G96" s="1607">
        <f t="shared" si="3"/>
        <v>0</v>
      </c>
      <c r="H96" s="1607">
        <f t="shared" si="3"/>
        <v>200</v>
      </c>
    </row>
    <row r="97" spans="1:8" s="8" customFormat="1" ht="12.75" customHeight="1">
      <c r="A97" s="1609" t="s">
        <v>4179</v>
      </c>
      <c r="B97" s="1610" t="s">
        <v>4180</v>
      </c>
      <c r="C97" s="1607"/>
      <c r="D97" s="1607">
        <v>150</v>
      </c>
      <c r="E97" s="1607"/>
      <c r="F97" s="1607">
        <v>50</v>
      </c>
      <c r="G97" s="1607">
        <f t="shared" si="3"/>
        <v>0</v>
      </c>
      <c r="H97" s="1607">
        <f t="shared" si="3"/>
        <v>200</v>
      </c>
    </row>
    <row r="98" spans="1:8" s="8" customFormat="1" ht="18" customHeight="1">
      <c r="A98" s="854"/>
      <c r="B98" s="880"/>
      <c r="C98" s="881"/>
      <c r="D98" s="882"/>
      <c r="E98" s="881"/>
      <c r="F98" s="883"/>
      <c r="G98" s="881"/>
      <c r="H98" s="881"/>
    </row>
    <row r="99" spans="1:8" s="8" customFormat="1" ht="12.75" customHeight="1">
      <c r="A99" s="329" t="s">
        <v>244</v>
      </c>
      <c r="B99" s="329"/>
      <c r="C99" s="852">
        <v>22053</v>
      </c>
      <c r="D99" s="852">
        <v>38300</v>
      </c>
      <c r="E99" s="852">
        <v>1691</v>
      </c>
      <c r="F99" s="852">
        <v>2400</v>
      </c>
      <c r="G99" s="852">
        <f t="shared" ref="G99:H114" si="4">C99+E99</f>
        <v>23744</v>
      </c>
      <c r="H99" s="852">
        <f t="shared" si="4"/>
        <v>40700</v>
      </c>
    </row>
    <row r="100" spans="1:8" s="8" customFormat="1" ht="12" customHeight="1">
      <c r="A100" s="329" t="s">
        <v>245</v>
      </c>
      <c r="B100" s="329"/>
      <c r="C100" s="852">
        <v>142930</v>
      </c>
      <c r="D100" s="852">
        <v>38300</v>
      </c>
      <c r="E100" s="852">
        <v>11658</v>
      </c>
      <c r="F100" s="852">
        <v>2400</v>
      </c>
      <c r="G100" s="852">
        <f t="shared" si="4"/>
        <v>154588</v>
      </c>
      <c r="H100" s="852">
        <f t="shared" si="4"/>
        <v>40700</v>
      </c>
    </row>
    <row r="101" spans="1:8" s="8" customFormat="1" ht="15" customHeight="1">
      <c r="A101" s="884"/>
      <c r="B101" s="875" t="s">
        <v>3529</v>
      </c>
      <c r="C101" s="855">
        <f>SUM(C102:C119)</f>
        <v>155939</v>
      </c>
      <c r="D101" s="855">
        <f>SUM(D102:D119)</f>
        <v>153620</v>
      </c>
      <c r="E101" s="855">
        <f>SUM(E102:E119)</f>
        <v>12089</v>
      </c>
      <c r="F101" s="855">
        <f>SUM(F102:F119)</f>
        <v>11661</v>
      </c>
      <c r="G101" s="855">
        <f t="shared" si="4"/>
        <v>168028</v>
      </c>
      <c r="H101" s="855">
        <f>D101+F101</f>
        <v>165281</v>
      </c>
    </row>
    <row r="102" spans="1:8" s="8" customFormat="1" ht="12.75" customHeight="1">
      <c r="A102" s="856" t="s">
        <v>3530</v>
      </c>
      <c r="B102" s="885" t="s">
        <v>3531</v>
      </c>
      <c r="C102" s="1324">
        <v>18504</v>
      </c>
      <c r="D102" s="848">
        <v>16000</v>
      </c>
      <c r="E102" s="848">
        <v>1475</v>
      </c>
      <c r="F102" s="848">
        <v>1000</v>
      </c>
      <c r="G102" s="848">
        <f t="shared" si="4"/>
        <v>19979</v>
      </c>
      <c r="H102" s="848">
        <f t="shared" si="4"/>
        <v>17000</v>
      </c>
    </row>
    <row r="103" spans="1:8" s="8" customFormat="1" ht="12.75" customHeight="1">
      <c r="A103" s="856" t="s">
        <v>3532</v>
      </c>
      <c r="B103" s="885" t="s">
        <v>3533</v>
      </c>
      <c r="C103" s="848">
        <v>0</v>
      </c>
      <c r="D103" s="848">
        <v>45</v>
      </c>
      <c r="E103" s="848">
        <v>0</v>
      </c>
      <c r="F103" s="848">
        <v>50</v>
      </c>
      <c r="G103" s="848">
        <f t="shared" si="4"/>
        <v>0</v>
      </c>
      <c r="H103" s="848">
        <f t="shared" si="4"/>
        <v>95</v>
      </c>
    </row>
    <row r="104" spans="1:8" s="8" customFormat="1" ht="12.75" customHeight="1">
      <c r="A104" s="856" t="s">
        <v>3534</v>
      </c>
      <c r="B104" s="885" t="s">
        <v>3535</v>
      </c>
      <c r="C104" s="848">
        <v>0</v>
      </c>
      <c r="D104" s="848">
        <v>45</v>
      </c>
      <c r="E104" s="848">
        <v>0</v>
      </c>
      <c r="F104" s="848">
        <v>50</v>
      </c>
      <c r="G104" s="848">
        <f t="shared" si="4"/>
        <v>0</v>
      </c>
      <c r="H104" s="848">
        <f t="shared" si="4"/>
        <v>95</v>
      </c>
    </row>
    <row r="105" spans="1:8" s="8" customFormat="1" ht="12.75" customHeight="1">
      <c r="A105" s="1612" t="s">
        <v>3536</v>
      </c>
      <c r="B105" s="1613" t="s">
        <v>3537</v>
      </c>
      <c r="C105" s="1324">
        <v>18504</v>
      </c>
      <c r="D105" s="848">
        <v>16000</v>
      </c>
      <c r="E105" s="848">
        <v>1475</v>
      </c>
      <c r="F105" s="848">
        <v>1000</v>
      </c>
      <c r="G105" s="848">
        <f t="shared" si="4"/>
        <v>19979</v>
      </c>
      <c r="H105" s="848">
        <f t="shared" si="4"/>
        <v>17000</v>
      </c>
    </row>
    <row r="106" spans="1:8" s="8" customFormat="1" ht="12.75" customHeight="1">
      <c r="A106" s="1612" t="s">
        <v>3538</v>
      </c>
      <c r="B106" s="1613" t="s">
        <v>3539</v>
      </c>
      <c r="C106" s="1324">
        <v>18504</v>
      </c>
      <c r="D106" s="848">
        <v>16000</v>
      </c>
      <c r="E106" s="848">
        <v>1475</v>
      </c>
      <c r="F106" s="848">
        <v>1000</v>
      </c>
      <c r="G106" s="848">
        <f t="shared" si="4"/>
        <v>19979</v>
      </c>
      <c r="H106" s="848">
        <f t="shared" si="4"/>
        <v>17000</v>
      </c>
    </row>
    <row r="107" spans="1:8" s="8" customFormat="1" ht="12.75" customHeight="1">
      <c r="A107" s="856" t="s">
        <v>3540</v>
      </c>
      <c r="B107" s="885" t="s">
        <v>3541</v>
      </c>
      <c r="C107" s="848"/>
      <c r="D107" s="848">
        <v>45</v>
      </c>
      <c r="E107" s="848"/>
      <c r="F107" s="848">
        <v>50</v>
      </c>
      <c r="G107" s="848">
        <f t="shared" si="4"/>
        <v>0</v>
      </c>
      <c r="H107" s="848">
        <f t="shared" si="4"/>
        <v>95</v>
      </c>
    </row>
    <row r="108" spans="1:8" s="8" customFormat="1" ht="12.75" customHeight="1">
      <c r="A108" s="856" t="s">
        <v>3542</v>
      </c>
      <c r="B108" s="885" t="s">
        <v>3543</v>
      </c>
      <c r="C108" s="1324">
        <v>18504</v>
      </c>
      <c r="D108" s="848">
        <v>16000</v>
      </c>
      <c r="E108" s="848">
        <v>1475</v>
      </c>
      <c r="F108" s="848">
        <v>1000</v>
      </c>
      <c r="G108" s="848">
        <f t="shared" si="4"/>
        <v>19979</v>
      </c>
      <c r="H108" s="848">
        <f t="shared" si="4"/>
        <v>17000</v>
      </c>
    </row>
    <row r="109" spans="1:8" s="8" customFormat="1" ht="12.75" customHeight="1">
      <c r="A109" s="856" t="s">
        <v>3544</v>
      </c>
      <c r="B109" s="885" t="s">
        <v>3545</v>
      </c>
      <c r="C109" s="1324">
        <v>18504</v>
      </c>
      <c r="D109" s="848">
        <v>16000</v>
      </c>
      <c r="E109" s="848">
        <v>1475</v>
      </c>
      <c r="F109" s="848">
        <v>1000</v>
      </c>
      <c r="G109" s="848">
        <f t="shared" si="4"/>
        <v>19979</v>
      </c>
      <c r="H109" s="848">
        <f t="shared" si="4"/>
        <v>17000</v>
      </c>
    </row>
    <row r="110" spans="1:8" s="8" customFormat="1" ht="12.75" customHeight="1">
      <c r="A110" s="856" t="s">
        <v>3546</v>
      </c>
      <c r="B110" s="885" t="s">
        <v>3547</v>
      </c>
      <c r="C110" s="1324">
        <v>18504</v>
      </c>
      <c r="D110" s="848">
        <v>16000</v>
      </c>
      <c r="E110" s="848">
        <v>1475</v>
      </c>
      <c r="F110" s="848">
        <v>1000</v>
      </c>
      <c r="G110" s="848">
        <f t="shared" si="4"/>
        <v>19979</v>
      </c>
      <c r="H110" s="848">
        <f t="shared" si="4"/>
        <v>17000</v>
      </c>
    </row>
    <row r="111" spans="1:8" s="8" customFormat="1" ht="12.75" customHeight="1">
      <c r="A111" s="856" t="s">
        <v>3548</v>
      </c>
      <c r="B111" s="885" t="s">
        <v>3549</v>
      </c>
      <c r="C111" s="848">
        <v>18382</v>
      </c>
      <c r="D111" s="848">
        <v>16000</v>
      </c>
      <c r="E111" s="848">
        <v>1400</v>
      </c>
      <c r="F111" s="848">
        <v>1000</v>
      </c>
      <c r="G111" s="848">
        <f t="shared" si="4"/>
        <v>19782</v>
      </c>
      <c r="H111" s="848">
        <f t="shared" si="4"/>
        <v>17000</v>
      </c>
    </row>
    <row r="112" spans="1:8" s="8" customFormat="1" ht="12.75" customHeight="1">
      <c r="A112" s="856" t="s">
        <v>3550</v>
      </c>
      <c r="B112" s="885" t="s">
        <v>3551</v>
      </c>
      <c r="C112" s="1324">
        <v>18504</v>
      </c>
      <c r="D112" s="848">
        <v>16000</v>
      </c>
      <c r="E112" s="848">
        <v>1475</v>
      </c>
      <c r="F112" s="848">
        <v>1000</v>
      </c>
      <c r="G112" s="848">
        <f t="shared" si="4"/>
        <v>19979</v>
      </c>
      <c r="H112" s="848">
        <f t="shared" si="4"/>
        <v>17000</v>
      </c>
    </row>
    <row r="113" spans="1:8" s="8" customFormat="1" ht="12.75" customHeight="1">
      <c r="A113" s="856" t="s">
        <v>2131</v>
      </c>
      <c r="B113" s="885" t="s">
        <v>3552</v>
      </c>
      <c r="C113" s="848">
        <v>338</v>
      </c>
      <c r="D113" s="848">
        <v>490</v>
      </c>
      <c r="E113" s="848">
        <v>4</v>
      </c>
      <c r="F113" s="848">
        <v>500</v>
      </c>
      <c r="G113" s="848">
        <f t="shared" si="4"/>
        <v>342</v>
      </c>
      <c r="H113" s="848">
        <f t="shared" si="4"/>
        <v>990</v>
      </c>
    </row>
    <row r="114" spans="1:8" s="8" customFormat="1" ht="12.75" customHeight="1">
      <c r="A114" s="856" t="s">
        <v>3553</v>
      </c>
      <c r="B114" s="885" t="s">
        <v>3554</v>
      </c>
      <c r="C114" s="848">
        <v>290</v>
      </c>
      <c r="D114" s="848">
        <v>490</v>
      </c>
      <c r="E114" s="848">
        <v>1</v>
      </c>
      <c r="F114" s="848">
        <v>500</v>
      </c>
      <c r="G114" s="848">
        <f t="shared" si="4"/>
        <v>291</v>
      </c>
      <c r="H114" s="848">
        <f t="shared" si="4"/>
        <v>990</v>
      </c>
    </row>
    <row r="115" spans="1:8" s="8" customFormat="1" ht="12.75" customHeight="1">
      <c r="A115" s="856" t="s">
        <v>3534</v>
      </c>
      <c r="B115" s="885" t="s">
        <v>3555</v>
      </c>
      <c r="C115" s="848">
        <v>290</v>
      </c>
      <c r="D115" s="848">
        <v>490</v>
      </c>
      <c r="E115" s="848">
        <v>1</v>
      </c>
      <c r="F115" s="848">
        <v>500</v>
      </c>
      <c r="G115" s="848">
        <f t="shared" ref="G115:H119" si="5">C115+E115</f>
        <v>291</v>
      </c>
      <c r="H115" s="848">
        <f t="shared" si="5"/>
        <v>990</v>
      </c>
    </row>
    <row r="116" spans="1:8" s="8" customFormat="1" ht="12.75" customHeight="1">
      <c r="A116" s="856" t="s">
        <v>3556</v>
      </c>
      <c r="B116" s="885" t="s">
        <v>3557</v>
      </c>
      <c r="C116" s="848">
        <v>2</v>
      </c>
      <c r="D116" s="848">
        <v>5</v>
      </c>
      <c r="E116" s="848">
        <v>0</v>
      </c>
      <c r="F116" s="848">
        <v>5</v>
      </c>
      <c r="G116" s="848">
        <f t="shared" si="5"/>
        <v>2</v>
      </c>
      <c r="H116" s="848">
        <f t="shared" si="5"/>
        <v>10</v>
      </c>
    </row>
    <row r="117" spans="1:8" s="8" customFormat="1" ht="12.75" customHeight="1">
      <c r="A117" s="856" t="s">
        <v>3558</v>
      </c>
      <c r="B117" s="885" t="s">
        <v>3559</v>
      </c>
      <c r="C117" s="848">
        <v>0</v>
      </c>
      <c r="D117" s="848">
        <v>5</v>
      </c>
      <c r="E117" s="848">
        <v>0</v>
      </c>
      <c r="F117" s="848">
        <v>1</v>
      </c>
      <c r="G117" s="848">
        <f t="shared" si="5"/>
        <v>0</v>
      </c>
      <c r="H117" s="848">
        <f t="shared" si="5"/>
        <v>6</v>
      </c>
    </row>
    <row r="118" spans="1:8" s="8" customFormat="1" ht="12.75" customHeight="1">
      <c r="A118" s="857" t="s">
        <v>3560</v>
      </c>
      <c r="B118" s="886" t="s">
        <v>3561</v>
      </c>
      <c r="C118" s="887">
        <v>0</v>
      </c>
      <c r="D118" s="887">
        <v>5</v>
      </c>
      <c r="E118" s="887">
        <v>0</v>
      </c>
      <c r="F118" s="887">
        <v>5</v>
      </c>
      <c r="G118" s="887">
        <f t="shared" si="5"/>
        <v>0</v>
      </c>
      <c r="H118" s="887">
        <f t="shared" si="5"/>
        <v>10</v>
      </c>
    </row>
    <row r="119" spans="1:8" s="8" customFormat="1" ht="12.75" customHeight="1">
      <c r="A119" s="858" t="s">
        <v>3562</v>
      </c>
      <c r="B119" s="384" t="s">
        <v>3563</v>
      </c>
      <c r="C119" s="848">
        <v>7109</v>
      </c>
      <c r="D119" s="848">
        <v>24000</v>
      </c>
      <c r="E119" s="848">
        <v>358</v>
      </c>
      <c r="F119" s="848">
        <v>2000</v>
      </c>
      <c r="G119" s="848">
        <f t="shared" si="5"/>
        <v>7467</v>
      </c>
      <c r="H119" s="848">
        <f t="shared" si="5"/>
        <v>26000</v>
      </c>
    </row>
    <row r="120" spans="1:8" s="8" customFormat="1" ht="11.25" customHeight="1">
      <c r="A120" s="888"/>
      <c r="B120" s="889"/>
      <c r="C120" s="890"/>
      <c r="D120" s="891"/>
      <c r="E120" s="892"/>
      <c r="F120" s="893"/>
      <c r="G120" s="894"/>
      <c r="H120" s="894"/>
    </row>
    <row r="121" spans="1:8" s="8" customFormat="1">
      <c r="A121" s="844" t="s">
        <v>244</v>
      </c>
      <c r="B121" s="844"/>
      <c r="C121" s="845"/>
      <c r="D121" s="852"/>
      <c r="E121" s="852"/>
      <c r="F121" s="852"/>
      <c r="G121" s="845">
        <f t="shared" ref="G121:H136" si="6">C121+E121</f>
        <v>0</v>
      </c>
      <c r="H121" s="845">
        <f t="shared" si="6"/>
        <v>0</v>
      </c>
    </row>
    <row r="122" spans="1:8" s="8" customFormat="1">
      <c r="A122" s="844" t="s">
        <v>245</v>
      </c>
      <c r="B122" s="844"/>
      <c r="C122" s="845"/>
      <c r="D122" s="852"/>
      <c r="E122" s="852"/>
      <c r="F122" s="852"/>
      <c r="G122" s="845">
        <f t="shared" si="6"/>
        <v>0</v>
      </c>
      <c r="H122" s="845">
        <f t="shared" si="6"/>
        <v>0</v>
      </c>
    </row>
    <row r="123" spans="1:8" s="8" customFormat="1">
      <c r="A123" s="895" t="s">
        <v>246</v>
      </c>
      <c r="B123" s="896"/>
      <c r="C123" s="962">
        <v>9502</v>
      </c>
      <c r="D123" s="962">
        <v>41584</v>
      </c>
      <c r="E123" s="962">
        <v>934</v>
      </c>
      <c r="F123" s="962">
        <v>4564</v>
      </c>
      <c r="G123" s="897">
        <f>C123+E123</f>
        <v>10436</v>
      </c>
      <c r="H123" s="897">
        <f>D123+F123</f>
        <v>46148</v>
      </c>
    </row>
    <row r="124" spans="1:8" s="8" customFormat="1" ht="12" customHeight="1">
      <c r="A124" s="859" t="s">
        <v>3564</v>
      </c>
      <c r="B124" s="860" t="s">
        <v>3565</v>
      </c>
      <c r="C124" s="998">
        <v>166</v>
      </c>
      <c r="D124" s="848">
        <v>880</v>
      </c>
      <c r="E124" s="999">
        <v>9</v>
      </c>
      <c r="F124" s="848">
        <v>42</v>
      </c>
      <c r="G124" s="960">
        <f t="shared" si="6"/>
        <v>175</v>
      </c>
      <c r="H124" s="898">
        <f t="shared" si="6"/>
        <v>922</v>
      </c>
    </row>
    <row r="125" spans="1:8" s="8" customFormat="1" ht="12" customHeight="1">
      <c r="A125" s="859" t="s">
        <v>3566</v>
      </c>
      <c r="B125" s="860" t="s">
        <v>3567</v>
      </c>
      <c r="C125" s="998">
        <v>32</v>
      </c>
      <c r="D125" s="848">
        <v>165</v>
      </c>
      <c r="E125" s="999">
        <v>0</v>
      </c>
      <c r="F125" s="848">
        <v>0</v>
      </c>
      <c r="G125" s="960">
        <f t="shared" si="6"/>
        <v>32</v>
      </c>
      <c r="H125" s="898">
        <f t="shared" si="6"/>
        <v>165</v>
      </c>
    </row>
    <row r="126" spans="1:8" s="8" customFormat="1" ht="12" customHeight="1">
      <c r="A126" s="859" t="s">
        <v>3568</v>
      </c>
      <c r="B126" s="860" t="s">
        <v>3569</v>
      </c>
      <c r="C126" s="998">
        <v>111</v>
      </c>
      <c r="D126" s="848">
        <v>410</v>
      </c>
      <c r="E126" s="999">
        <v>18</v>
      </c>
      <c r="F126" s="848">
        <v>117</v>
      </c>
      <c r="G126" s="960">
        <f t="shared" si="6"/>
        <v>129</v>
      </c>
      <c r="H126" s="898">
        <f t="shared" si="6"/>
        <v>527</v>
      </c>
    </row>
    <row r="127" spans="1:8" s="8" customFormat="1" ht="12" customHeight="1">
      <c r="A127" s="861" t="s">
        <v>3570</v>
      </c>
      <c r="B127" s="860" t="s">
        <v>3571</v>
      </c>
      <c r="C127" s="998">
        <v>91</v>
      </c>
      <c r="D127" s="848">
        <v>440</v>
      </c>
      <c r="E127" s="999">
        <v>18</v>
      </c>
      <c r="F127" s="848">
        <v>117</v>
      </c>
      <c r="G127" s="960">
        <f t="shared" si="6"/>
        <v>109</v>
      </c>
      <c r="H127" s="898">
        <f t="shared" si="6"/>
        <v>557</v>
      </c>
    </row>
    <row r="128" spans="1:8" s="8" customFormat="1" ht="12" customHeight="1">
      <c r="A128" s="861" t="s">
        <v>3572</v>
      </c>
      <c r="B128" s="860" t="s">
        <v>3573</v>
      </c>
      <c r="C128" s="998">
        <v>170</v>
      </c>
      <c r="D128" s="848">
        <v>870</v>
      </c>
      <c r="E128" s="999">
        <v>9</v>
      </c>
      <c r="F128" s="848">
        <v>45</v>
      </c>
      <c r="G128" s="960">
        <f t="shared" si="6"/>
        <v>179</v>
      </c>
      <c r="H128" s="898">
        <f t="shared" si="6"/>
        <v>915</v>
      </c>
    </row>
    <row r="129" spans="1:8" s="8" customFormat="1" ht="12" customHeight="1">
      <c r="A129" s="861" t="s">
        <v>3574</v>
      </c>
      <c r="B129" s="860" t="s">
        <v>3575</v>
      </c>
      <c r="C129" s="998">
        <v>2</v>
      </c>
      <c r="D129" s="848">
        <v>29</v>
      </c>
      <c r="E129" s="999">
        <v>9</v>
      </c>
      <c r="F129" s="848">
        <v>45</v>
      </c>
      <c r="G129" s="960">
        <f t="shared" si="6"/>
        <v>11</v>
      </c>
      <c r="H129" s="898">
        <f t="shared" si="6"/>
        <v>74</v>
      </c>
    </row>
    <row r="130" spans="1:8" s="8" customFormat="1" ht="12" customHeight="1">
      <c r="A130" s="861" t="s">
        <v>3576</v>
      </c>
      <c r="B130" s="860" t="s">
        <v>3577</v>
      </c>
      <c r="C130" s="998">
        <v>1</v>
      </c>
      <c r="D130" s="848">
        <v>2</v>
      </c>
      <c r="E130" s="999">
        <v>2</v>
      </c>
      <c r="F130" s="848">
        <v>8</v>
      </c>
      <c r="G130" s="960">
        <f t="shared" si="6"/>
        <v>3</v>
      </c>
      <c r="H130" s="898">
        <f t="shared" si="6"/>
        <v>10</v>
      </c>
    </row>
    <row r="131" spans="1:8" s="8" customFormat="1" ht="12" customHeight="1">
      <c r="A131" s="861" t="s">
        <v>3578</v>
      </c>
      <c r="B131" s="860" t="s">
        <v>3579</v>
      </c>
      <c r="C131" s="998">
        <v>1</v>
      </c>
      <c r="D131" s="848">
        <v>4</v>
      </c>
      <c r="E131" s="999">
        <v>0</v>
      </c>
      <c r="F131" s="848">
        <v>0</v>
      </c>
      <c r="G131" s="960">
        <f t="shared" si="6"/>
        <v>1</v>
      </c>
      <c r="H131" s="898">
        <f t="shared" si="6"/>
        <v>4</v>
      </c>
    </row>
    <row r="132" spans="1:8" s="8" customFormat="1" ht="12" customHeight="1">
      <c r="A132" s="861" t="s">
        <v>3580</v>
      </c>
      <c r="B132" s="860" t="s">
        <v>3581</v>
      </c>
      <c r="C132" s="998">
        <v>25</v>
      </c>
      <c r="D132" s="848">
        <v>370</v>
      </c>
      <c r="E132" s="999">
        <v>1</v>
      </c>
      <c r="F132" s="848">
        <v>2</v>
      </c>
      <c r="G132" s="960">
        <f t="shared" si="6"/>
        <v>26</v>
      </c>
      <c r="H132" s="898">
        <f t="shared" si="6"/>
        <v>372</v>
      </c>
    </row>
    <row r="133" spans="1:8" s="8" customFormat="1" ht="12" customHeight="1">
      <c r="A133" s="861" t="s">
        <v>3582</v>
      </c>
      <c r="B133" s="860" t="s">
        <v>3583</v>
      </c>
      <c r="C133" s="998">
        <v>114</v>
      </c>
      <c r="D133" s="848">
        <v>450</v>
      </c>
      <c r="E133" s="999">
        <v>0</v>
      </c>
      <c r="F133" s="848">
        <v>0</v>
      </c>
      <c r="G133" s="960">
        <f t="shared" si="6"/>
        <v>114</v>
      </c>
      <c r="H133" s="898">
        <f t="shared" si="6"/>
        <v>450</v>
      </c>
    </row>
    <row r="134" spans="1:8" s="8" customFormat="1" ht="12" customHeight="1">
      <c r="A134" s="861" t="s">
        <v>3584</v>
      </c>
      <c r="B134" s="860" t="s">
        <v>3585</v>
      </c>
      <c r="C134" s="998">
        <v>150</v>
      </c>
      <c r="D134" s="848">
        <v>800</v>
      </c>
      <c r="E134" s="999">
        <v>19</v>
      </c>
      <c r="F134" s="848">
        <v>80</v>
      </c>
      <c r="G134" s="960">
        <f t="shared" si="6"/>
        <v>169</v>
      </c>
      <c r="H134" s="898">
        <f t="shared" si="6"/>
        <v>880</v>
      </c>
    </row>
    <row r="135" spans="1:8" s="8" customFormat="1" ht="12" customHeight="1">
      <c r="A135" s="861" t="s">
        <v>3586</v>
      </c>
      <c r="B135" s="860" t="s">
        <v>3587</v>
      </c>
      <c r="C135" s="998">
        <v>148</v>
      </c>
      <c r="D135" s="848">
        <v>790</v>
      </c>
      <c r="E135" s="999">
        <v>18</v>
      </c>
      <c r="F135" s="848">
        <v>80</v>
      </c>
      <c r="G135" s="960">
        <f t="shared" si="6"/>
        <v>166</v>
      </c>
      <c r="H135" s="898">
        <f t="shared" si="6"/>
        <v>870</v>
      </c>
    </row>
    <row r="136" spans="1:8" s="8" customFormat="1" ht="12" customHeight="1">
      <c r="A136" s="861" t="s">
        <v>3588</v>
      </c>
      <c r="B136" s="860" t="s">
        <v>3589</v>
      </c>
      <c r="C136" s="998">
        <v>147</v>
      </c>
      <c r="D136" s="848">
        <v>790</v>
      </c>
      <c r="E136" s="999">
        <v>18</v>
      </c>
      <c r="F136" s="848">
        <v>80</v>
      </c>
      <c r="G136" s="960">
        <f t="shared" si="6"/>
        <v>165</v>
      </c>
      <c r="H136" s="898">
        <f t="shared" si="6"/>
        <v>870</v>
      </c>
    </row>
    <row r="137" spans="1:8" s="8" customFormat="1" ht="12" customHeight="1">
      <c r="A137" s="861" t="s">
        <v>3590</v>
      </c>
      <c r="B137" s="860" t="s">
        <v>3591</v>
      </c>
      <c r="C137" s="998">
        <v>92</v>
      </c>
      <c r="D137" s="848">
        <v>440</v>
      </c>
      <c r="E137" s="999">
        <v>11</v>
      </c>
      <c r="F137" s="848">
        <v>42</v>
      </c>
      <c r="G137" s="960">
        <f t="shared" ref="G137:H179" si="7">C137+E137</f>
        <v>103</v>
      </c>
      <c r="H137" s="898">
        <f t="shared" si="7"/>
        <v>482</v>
      </c>
    </row>
    <row r="138" spans="1:8" s="8" customFormat="1" ht="12" customHeight="1">
      <c r="A138" s="861" t="s">
        <v>3592</v>
      </c>
      <c r="B138" s="860" t="s">
        <v>3593</v>
      </c>
      <c r="C138" s="998">
        <v>1</v>
      </c>
      <c r="D138" s="848">
        <v>2</v>
      </c>
      <c r="E138" s="999">
        <v>0</v>
      </c>
      <c r="F138" s="848">
        <v>1</v>
      </c>
      <c r="G138" s="960">
        <f t="shared" si="7"/>
        <v>1</v>
      </c>
      <c r="H138" s="898">
        <f t="shared" si="7"/>
        <v>3</v>
      </c>
    </row>
    <row r="139" spans="1:8" s="8" customFormat="1" ht="12" customHeight="1">
      <c r="A139" s="861" t="s">
        <v>3594</v>
      </c>
      <c r="B139" s="860" t="s">
        <v>3595</v>
      </c>
      <c r="C139" s="998">
        <v>21</v>
      </c>
      <c r="D139" s="848">
        <v>145</v>
      </c>
      <c r="E139" s="999">
        <v>4</v>
      </c>
      <c r="F139" s="848">
        <v>32</v>
      </c>
      <c r="G139" s="960">
        <f t="shared" si="7"/>
        <v>25</v>
      </c>
      <c r="H139" s="898">
        <f t="shared" si="7"/>
        <v>177</v>
      </c>
    </row>
    <row r="140" spans="1:8" s="8" customFormat="1" ht="12" customHeight="1">
      <c r="A140" s="861" t="s">
        <v>3596</v>
      </c>
      <c r="B140" s="860" t="s">
        <v>3597</v>
      </c>
      <c r="C140" s="998">
        <v>187</v>
      </c>
      <c r="D140" s="848">
        <v>1210</v>
      </c>
      <c r="E140" s="999">
        <v>33</v>
      </c>
      <c r="F140" s="848">
        <v>210</v>
      </c>
      <c r="G140" s="960">
        <f t="shared" si="7"/>
        <v>220</v>
      </c>
      <c r="H140" s="898">
        <f t="shared" si="7"/>
        <v>1420</v>
      </c>
    </row>
    <row r="141" spans="1:8" s="8" customFormat="1" ht="12" customHeight="1">
      <c r="A141" s="861" t="s">
        <v>3598</v>
      </c>
      <c r="B141" s="860" t="s">
        <v>3599</v>
      </c>
      <c r="C141" s="998">
        <v>64</v>
      </c>
      <c r="D141" s="848">
        <v>440</v>
      </c>
      <c r="E141" s="999">
        <v>12</v>
      </c>
      <c r="F141" s="848">
        <v>75</v>
      </c>
      <c r="G141" s="960">
        <f t="shared" si="7"/>
        <v>76</v>
      </c>
      <c r="H141" s="898">
        <f t="shared" si="7"/>
        <v>515</v>
      </c>
    </row>
    <row r="142" spans="1:8" s="8" customFormat="1" ht="12" customHeight="1">
      <c r="A142" s="861" t="s">
        <v>3600</v>
      </c>
      <c r="B142" s="860" t="s">
        <v>3601</v>
      </c>
      <c r="C142" s="998">
        <v>637</v>
      </c>
      <c r="D142" s="848">
        <v>2800</v>
      </c>
      <c r="E142" s="999">
        <v>18</v>
      </c>
      <c r="F142" s="848">
        <v>140</v>
      </c>
      <c r="G142" s="960">
        <f t="shared" si="7"/>
        <v>655</v>
      </c>
      <c r="H142" s="898">
        <f t="shared" si="7"/>
        <v>2940</v>
      </c>
    </row>
    <row r="143" spans="1:8" s="8" customFormat="1" ht="12" customHeight="1">
      <c r="A143" s="861" t="s">
        <v>3602</v>
      </c>
      <c r="B143" s="860" t="s">
        <v>3603</v>
      </c>
      <c r="C143" s="998">
        <v>42</v>
      </c>
      <c r="D143" s="848">
        <v>340</v>
      </c>
      <c r="E143" s="999">
        <v>6</v>
      </c>
      <c r="F143" s="848">
        <v>27</v>
      </c>
      <c r="G143" s="960">
        <f t="shared" si="7"/>
        <v>48</v>
      </c>
      <c r="H143" s="898">
        <f t="shared" si="7"/>
        <v>367</v>
      </c>
    </row>
    <row r="144" spans="1:8" s="8" customFormat="1" ht="12" customHeight="1">
      <c r="A144" s="861" t="s">
        <v>3604</v>
      </c>
      <c r="B144" s="860" t="s">
        <v>3605</v>
      </c>
      <c r="C144" s="998">
        <v>191</v>
      </c>
      <c r="D144" s="848">
        <v>950</v>
      </c>
      <c r="E144" s="999">
        <v>36</v>
      </c>
      <c r="F144" s="848">
        <v>200</v>
      </c>
      <c r="G144" s="960">
        <f t="shared" si="7"/>
        <v>227</v>
      </c>
      <c r="H144" s="898">
        <f t="shared" si="7"/>
        <v>1150</v>
      </c>
    </row>
    <row r="145" spans="1:8" s="8" customFormat="1" ht="12" customHeight="1">
      <c r="A145" s="861" t="s">
        <v>3606</v>
      </c>
      <c r="B145" s="860" t="s">
        <v>3607</v>
      </c>
      <c r="C145" s="998">
        <v>5</v>
      </c>
      <c r="D145" s="848">
        <v>50</v>
      </c>
      <c r="E145" s="999">
        <v>0</v>
      </c>
      <c r="F145" s="848">
        <v>22</v>
      </c>
      <c r="G145" s="960">
        <f t="shared" si="7"/>
        <v>5</v>
      </c>
      <c r="H145" s="898">
        <f t="shared" si="7"/>
        <v>72</v>
      </c>
    </row>
    <row r="146" spans="1:8" s="8" customFormat="1" ht="12" customHeight="1">
      <c r="A146" s="861" t="s">
        <v>3608</v>
      </c>
      <c r="B146" s="860" t="s">
        <v>3609</v>
      </c>
      <c r="C146" s="998">
        <v>2</v>
      </c>
      <c r="D146" s="848">
        <v>5</v>
      </c>
      <c r="E146" s="999">
        <v>4</v>
      </c>
      <c r="F146" s="848">
        <v>12</v>
      </c>
      <c r="G146" s="960">
        <f t="shared" si="7"/>
        <v>6</v>
      </c>
      <c r="H146" s="898">
        <f t="shared" si="7"/>
        <v>17</v>
      </c>
    </row>
    <row r="147" spans="1:8" s="8" customFormat="1" ht="12" customHeight="1">
      <c r="A147" s="861" t="s">
        <v>3610</v>
      </c>
      <c r="B147" s="860" t="s">
        <v>3611</v>
      </c>
      <c r="C147" s="998">
        <v>2</v>
      </c>
      <c r="D147" s="848">
        <v>5</v>
      </c>
      <c r="E147" s="999">
        <v>4</v>
      </c>
      <c r="F147" s="848">
        <v>12</v>
      </c>
      <c r="G147" s="960">
        <f t="shared" si="7"/>
        <v>6</v>
      </c>
      <c r="H147" s="898">
        <f t="shared" si="7"/>
        <v>17</v>
      </c>
    </row>
    <row r="148" spans="1:8" s="8" customFormat="1" ht="12" customHeight="1">
      <c r="A148" s="861" t="s">
        <v>3612</v>
      </c>
      <c r="B148" s="860" t="s">
        <v>3613</v>
      </c>
      <c r="C148" s="998">
        <v>1</v>
      </c>
      <c r="D148" s="848">
        <v>10</v>
      </c>
      <c r="E148" s="999">
        <v>0</v>
      </c>
      <c r="F148" s="848">
        <v>1</v>
      </c>
      <c r="G148" s="960">
        <f t="shared" si="7"/>
        <v>1</v>
      </c>
      <c r="H148" s="898">
        <f t="shared" si="7"/>
        <v>11</v>
      </c>
    </row>
    <row r="149" spans="1:8" s="8" customFormat="1" ht="12" customHeight="1">
      <c r="A149" s="861" t="s">
        <v>3614</v>
      </c>
      <c r="B149" s="860" t="s">
        <v>3615</v>
      </c>
      <c r="C149" s="998">
        <v>7</v>
      </c>
      <c r="D149" s="848">
        <v>23</v>
      </c>
      <c r="E149" s="999">
        <v>0</v>
      </c>
      <c r="F149" s="848">
        <v>1</v>
      </c>
      <c r="G149" s="960">
        <f t="shared" si="7"/>
        <v>7</v>
      </c>
      <c r="H149" s="898">
        <f t="shared" si="7"/>
        <v>24</v>
      </c>
    </row>
    <row r="150" spans="1:8" s="8" customFormat="1" ht="12" customHeight="1">
      <c r="A150" s="861" t="s">
        <v>3616</v>
      </c>
      <c r="B150" s="860" t="s">
        <v>3617</v>
      </c>
      <c r="C150" s="998">
        <v>1</v>
      </c>
      <c r="D150" s="848">
        <v>4</v>
      </c>
      <c r="E150" s="999">
        <v>0</v>
      </c>
      <c r="F150" s="848">
        <v>2</v>
      </c>
      <c r="G150" s="960">
        <f t="shared" si="7"/>
        <v>1</v>
      </c>
      <c r="H150" s="898">
        <f t="shared" si="7"/>
        <v>6</v>
      </c>
    </row>
    <row r="151" spans="1:8" s="8" customFormat="1" ht="12" customHeight="1">
      <c r="A151" s="861" t="s">
        <v>3618</v>
      </c>
      <c r="B151" s="860" t="s">
        <v>3619</v>
      </c>
      <c r="C151" s="998">
        <v>26</v>
      </c>
      <c r="D151" s="848">
        <v>41</v>
      </c>
      <c r="E151" s="999">
        <v>7</v>
      </c>
      <c r="F151" s="848">
        <v>13</v>
      </c>
      <c r="G151" s="960">
        <f t="shared" si="7"/>
        <v>33</v>
      </c>
      <c r="H151" s="898">
        <f t="shared" si="7"/>
        <v>54</v>
      </c>
    </row>
    <row r="152" spans="1:8" s="8" customFormat="1" ht="12" customHeight="1">
      <c r="A152" s="861" t="s">
        <v>3620</v>
      </c>
      <c r="B152" s="860" t="s">
        <v>3621</v>
      </c>
      <c r="C152" s="998">
        <v>366</v>
      </c>
      <c r="D152" s="848">
        <v>2300</v>
      </c>
      <c r="E152" s="999">
        <v>58</v>
      </c>
      <c r="F152" s="848">
        <v>380</v>
      </c>
      <c r="G152" s="960">
        <f t="shared" si="7"/>
        <v>424</v>
      </c>
      <c r="H152" s="898">
        <f t="shared" si="7"/>
        <v>2680</v>
      </c>
    </row>
    <row r="153" spans="1:8" s="8" customFormat="1" ht="12" customHeight="1">
      <c r="A153" s="861" t="s">
        <v>3622</v>
      </c>
      <c r="B153" s="860" t="s">
        <v>3623</v>
      </c>
      <c r="C153" s="998">
        <v>3576</v>
      </c>
      <c r="D153" s="848">
        <v>12100</v>
      </c>
      <c r="E153" s="999">
        <v>257</v>
      </c>
      <c r="F153" s="848">
        <v>1550</v>
      </c>
      <c r="G153" s="960">
        <f t="shared" si="7"/>
        <v>3833</v>
      </c>
      <c r="H153" s="898">
        <f t="shared" si="7"/>
        <v>13650</v>
      </c>
    </row>
    <row r="154" spans="1:8" s="8" customFormat="1" ht="12" customHeight="1">
      <c r="A154" s="861" t="s">
        <v>3624</v>
      </c>
      <c r="B154" s="860" t="s">
        <v>3625</v>
      </c>
      <c r="C154" s="998">
        <v>654</v>
      </c>
      <c r="D154" s="848">
        <v>3030</v>
      </c>
      <c r="E154" s="999">
        <v>91</v>
      </c>
      <c r="F154" s="848">
        <v>300</v>
      </c>
      <c r="G154" s="960">
        <f t="shared" si="7"/>
        <v>745</v>
      </c>
      <c r="H154" s="898">
        <f t="shared" si="7"/>
        <v>3330</v>
      </c>
    </row>
    <row r="155" spans="1:8" s="8" customFormat="1" ht="12" customHeight="1">
      <c r="A155" s="861" t="s">
        <v>3626</v>
      </c>
      <c r="B155" s="860" t="s">
        <v>3627</v>
      </c>
      <c r="C155" s="998">
        <v>9</v>
      </c>
      <c r="D155" s="848">
        <v>28</v>
      </c>
      <c r="E155" s="999">
        <v>1</v>
      </c>
      <c r="F155" s="848">
        <v>0</v>
      </c>
      <c r="G155" s="960">
        <f t="shared" si="7"/>
        <v>10</v>
      </c>
      <c r="H155" s="898">
        <f t="shared" si="7"/>
        <v>28</v>
      </c>
    </row>
    <row r="156" spans="1:8" s="8" customFormat="1" ht="12" customHeight="1">
      <c r="A156" s="1217" t="s">
        <v>3628</v>
      </c>
      <c r="B156" s="1218" t="s">
        <v>3629</v>
      </c>
      <c r="C156" s="1219"/>
      <c r="D156" s="1220"/>
      <c r="E156" s="1221"/>
      <c r="F156" s="1220"/>
      <c r="G156" s="1222">
        <f t="shared" si="7"/>
        <v>0</v>
      </c>
      <c r="H156" s="1223">
        <f t="shared" si="7"/>
        <v>0</v>
      </c>
    </row>
    <row r="157" spans="1:8" s="8" customFormat="1" ht="12" customHeight="1">
      <c r="A157" s="861" t="s">
        <v>3630</v>
      </c>
      <c r="B157" s="860" t="s">
        <v>3631</v>
      </c>
      <c r="C157" s="998">
        <v>81</v>
      </c>
      <c r="D157" s="848">
        <v>450</v>
      </c>
      <c r="E157" s="999">
        <v>11</v>
      </c>
      <c r="F157" s="848">
        <v>42</v>
      </c>
      <c r="G157" s="960">
        <f t="shared" si="7"/>
        <v>92</v>
      </c>
      <c r="H157" s="898">
        <f t="shared" si="7"/>
        <v>492</v>
      </c>
    </row>
    <row r="158" spans="1:8" s="8" customFormat="1" ht="12" customHeight="1">
      <c r="A158" s="861" t="s">
        <v>3632</v>
      </c>
      <c r="B158" s="860" t="s">
        <v>3633</v>
      </c>
      <c r="C158" s="998">
        <v>4</v>
      </c>
      <c r="D158" s="848">
        <v>30</v>
      </c>
      <c r="E158" s="999">
        <v>0</v>
      </c>
      <c r="F158" s="848">
        <v>5</v>
      </c>
      <c r="G158" s="960">
        <f t="shared" si="7"/>
        <v>4</v>
      </c>
      <c r="H158" s="898">
        <f t="shared" si="7"/>
        <v>35</v>
      </c>
    </row>
    <row r="159" spans="1:8" s="900" customFormat="1" ht="12" customHeight="1">
      <c r="A159" s="1310" t="s">
        <v>3634</v>
      </c>
      <c r="B159" s="959" t="s">
        <v>3635</v>
      </c>
      <c r="C159" s="1000">
        <v>2</v>
      </c>
      <c r="D159" s="1134">
        <v>2</v>
      </c>
      <c r="E159" s="1001">
        <v>0</v>
      </c>
      <c r="F159" s="1134">
        <v>1</v>
      </c>
      <c r="G159" s="961">
        <f t="shared" si="7"/>
        <v>2</v>
      </c>
      <c r="H159" s="899">
        <f t="shared" si="7"/>
        <v>3</v>
      </c>
    </row>
    <row r="160" spans="1:8" s="8" customFormat="1" ht="12" customHeight="1">
      <c r="A160" s="861" t="s">
        <v>3636</v>
      </c>
      <c r="B160" s="860" t="s">
        <v>3637</v>
      </c>
      <c r="C160" s="998">
        <v>209</v>
      </c>
      <c r="D160" s="848">
        <v>1050</v>
      </c>
      <c r="E160" s="999">
        <v>11</v>
      </c>
      <c r="F160" s="848">
        <v>95</v>
      </c>
      <c r="G160" s="960">
        <f t="shared" si="7"/>
        <v>220</v>
      </c>
      <c r="H160" s="898">
        <f t="shared" si="7"/>
        <v>1145</v>
      </c>
    </row>
    <row r="161" spans="1:8" s="8" customFormat="1" ht="12" customHeight="1">
      <c r="A161" s="861" t="s">
        <v>2133</v>
      </c>
      <c r="B161" s="860" t="s">
        <v>2134</v>
      </c>
      <c r="C161" s="998">
        <v>1075</v>
      </c>
      <c r="D161" s="848">
        <v>5100</v>
      </c>
      <c r="E161" s="999">
        <v>100</v>
      </c>
      <c r="F161" s="848">
        <v>450</v>
      </c>
      <c r="G161" s="960">
        <f t="shared" si="7"/>
        <v>1175</v>
      </c>
      <c r="H161" s="898">
        <f t="shared" si="7"/>
        <v>5550</v>
      </c>
    </row>
    <row r="162" spans="1:8" s="8" customFormat="1" ht="12" customHeight="1">
      <c r="A162" s="861" t="s">
        <v>3638</v>
      </c>
      <c r="B162" s="860" t="s">
        <v>3639</v>
      </c>
      <c r="C162" s="998">
        <v>2</v>
      </c>
      <c r="D162" s="848">
        <v>28</v>
      </c>
      <c r="E162" s="999">
        <v>1</v>
      </c>
      <c r="F162" s="848">
        <v>1</v>
      </c>
      <c r="G162" s="960">
        <f t="shared" si="7"/>
        <v>3</v>
      </c>
      <c r="H162" s="898">
        <f t="shared" si="7"/>
        <v>29</v>
      </c>
    </row>
    <row r="163" spans="1:8" s="1224" customFormat="1" ht="12" customHeight="1">
      <c r="A163" s="1303" t="s">
        <v>3640</v>
      </c>
      <c r="B163" s="1304" t="s">
        <v>3641</v>
      </c>
      <c r="C163" s="1305"/>
      <c r="D163" s="1306"/>
      <c r="E163" s="1307"/>
      <c r="F163" s="1306"/>
      <c r="G163" s="1308">
        <f t="shared" si="7"/>
        <v>0</v>
      </c>
      <c r="H163" s="1309">
        <f t="shared" si="7"/>
        <v>0</v>
      </c>
    </row>
    <row r="164" spans="1:8" s="8" customFormat="1" ht="12" customHeight="1">
      <c r="A164" s="859" t="s">
        <v>3642</v>
      </c>
      <c r="B164" s="860" t="s">
        <v>3643</v>
      </c>
      <c r="C164" s="1299">
        <v>0</v>
      </c>
      <c r="D164" s="848">
        <v>10</v>
      </c>
      <c r="E164" s="999">
        <v>1</v>
      </c>
      <c r="F164" s="848">
        <v>1</v>
      </c>
      <c r="G164" s="960">
        <f t="shared" si="7"/>
        <v>1</v>
      </c>
      <c r="H164" s="898">
        <f t="shared" si="7"/>
        <v>11</v>
      </c>
    </row>
    <row r="165" spans="1:8" s="8" customFormat="1" ht="12" customHeight="1">
      <c r="A165" s="859" t="s">
        <v>3644</v>
      </c>
      <c r="B165" s="860" t="s">
        <v>3645</v>
      </c>
      <c r="C165" s="1299">
        <v>121</v>
      </c>
      <c r="D165" s="848">
        <v>400</v>
      </c>
      <c r="E165" s="999">
        <v>19</v>
      </c>
      <c r="F165" s="848">
        <v>33</v>
      </c>
      <c r="G165" s="960">
        <f t="shared" si="7"/>
        <v>140</v>
      </c>
      <c r="H165" s="898">
        <f t="shared" si="7"/>
        <v>433</v>
      </c>
    </row>
    <row r="166" spans="1:8" s="8" customFormat="1" ht="12" customHeight="1">
      <c r="A166" s="859" t="s">
        <v>3646</v>
      </c>
      <c r="B166" s="860" t="s">
        <v>3647</v>
      </c>
      <c r="C166" s="1299">
        <v>130</v>
      </c>
      <c r="D166" s="848">
        <v>400</v>
      </c>
      <c r="E166" s="999">
        <v>19</v>
      </c>
      <c r="F166" s="848">
        <v>33</v>
      </c>
      <c r="G166" s="960">
        <f t="shared" si="7"/>
        <v>149</v>
      </c>
      <c r="H166" s="898">
        <f t="shared" si="7"/>
        <v>433</v>
      </c>
    </row>
    <row r="167" spans="1:8" s="8" customFormat="1" ht="12" customHeight="1">
      <c r="A167" s="859" t="s">
        <v>3648</v>
      </c>
      <c r="B167" s="860" t="s">
        <v>3649</v>
      </c>
      <c r="C167" s="1299">
        <v>25</v>
      </c>
      <c r="D167" s="848">
        <v>28</v>
      </c>
      <c r="E167" s="999">
        <v>1</v>
      </c>
      <c r="F167" s="848">
        <v>1</v>
      </c>
      <c r="G167" s="960">
        <f t="shared" si="7"/>
        <v>26</v>
      </c>
      <c r="H167" s="898">
        <f t="shared" si="7"/>
        <v>29</v>
      </c>
    </row>
    <row r="168" spans="1:8" s="8" customFormat="1" ht="12" customHeight="1">
      <c r="A168" s="859" t="s">
        <v>4051</v>
      </c>
      <c r="B168" s="860" t="s">
        <v>3650</v>
      </c>
      <c r="C168" s="1299">
        <v>2</v>
      </c>
      <c r="D168" s="848">
        <v>2</v>
      </c>
      <c r="E168" s="999">
        <v>0</v>
      </c>
      <c r="F168" s="848">
        <v>0</v>
      </c>
      <c r="G168" s="960">
        <f t="shared" si="7"/>
        <v>2</v>
      </c>
      <c r="H168" s="898">
        <f t="shared" si="7"/>
        <v>2</v>
      </c>
    </row>
    <row r="169" spans="1:8" s="8" customFormat="1" ht="12" customHeight="1">
      <c r="A169" s="859" t="s">
        <v>3651</v>
      </c>
      <c r="B169" s="860" t="s">
        <v>3652</v>
      </c>
      <c r="C169" s="1299">
        <v>10</v>
      </c>
      <c r="D169" s="848">
        <v>18</v>
      </c>
      <c r="E169" s="999">
        <v>0</v>
      </c>
      <c r="F169" s="848">
        <v>0</v>
      </c>
      <c r="G169" s="960">
        <f t="shared" si="7"/>
        <v>10</v>
      </c>
      <c r="H169" s="898">
        <f t="shared" si="7"/>
        <v>18</v>
      </c>
    </row>
    <row r="170" spans="1:8" s="8" customFormat="1" ht="12" customHeight="1">
      <c r="A170" s="859" t="s">
        <v>3653</v>
      </c>
      <c r="B170" s="860" t="s">
        <v>3654</v>
      </c>
      <c r="C170" s="1299">
        <v>10</v>
      </c>
      <c r="D170" s="848">
        <v>18</v>
      </c>
      <c r="E170" s="999">
        <v>0</v>
      </c>
      <c r="F170" s="848">
        <v>0</v>
      </c>
      <c r="G170" s="960">
        <f t="shared" si="7"/>
        <v>10</v>
      </c>
      <c r="H170" s="898">
        <f t="shared" si="7"/>
        <v>18</v>
      </c>
    </row>
    <row r="171" spans="1:8" s="8" customFormat="1" ht="12" customHeight="1">
      <c r="A171" s="859" t="s">
        <v>3655</v>
      </c>
      <c r="B171" s="860" t="s">
        <v>3656</v>
      </c>
      <c r="C171" s="1299">
        <v>424</v>
      </c>
      <c r="D171" s="848">
        <v>2200</v>
      </c>
      <c r="E171" s="999">
        <v>29</v>
      </c>
      <c r="F171" s="848">
        <v>140</v>
      </c>
      <c r="G171" s="960">
        <f t="shared" si="7"/>
        <v>453</v>
      </c>
      <c r="H171" s="898">
        <f t="shared" si="7"/>
        <v>2340</v>
      </c>
    </row>
    <row r="172" spans="1:8" s="8" customFormat="1" ht="12" customHeight="1">
      <c r="A172" s="859" t="s">
        <v>3657</v>
      </c>
      <c r="B172" s="860" t="s">
        <v>3658</v>
      </c>
      <c r="C172" s="1299">
        <v>35</v>
      </c>
      <c r="D172" s="848">
        <v>200</v>
      </c>
      <c r="E172" s="999">
        <v>4</v>
      </c>
      <c r="F172" s="848">
        <v>15</v>
      </c>
      <c r="G172" s="960">
        <f t="shared" si="7"/>
        <v>39</v>
      </c>
      <c r="H172" s="898">
        <f t="shared" si="7"/>
        <v>215</v>
      </c>
    </row>
    <row r="173" spans="1:8" s="8" customFormat="1" ht="12" customHeight="1">
      <c r="A173" s="859" t="s">
        <v>3659</v>
      </c>
      <c r="B173" s="860" t="s">
        <v>3660</v>
      </c>
      <c r="C173" s="1299">
        <v>179</v>
      </c>
      <c r="D173" s="848">
        <v>1100</v>
      </c>
      <c r="E173" s="999">
        <v>20</v>
      </c>
      <c r="F173" s="848">
        <v>85</v>
      </c>
      <c r="G173" s="960">
        <f t="shared" si="7"/>
        <v>199</v>
      </c>
      <c r="H173" s="898">
        <f t="shared" si="7"/>
        <v>1185</v>
      </c>
    </row>
    <row r="174" spans="1:8" s="8" customFormat="1" ht="12" customHeight="1">
      <c r="A174" s="1302" t="s">
        <v>3661</v>
      </c>
      <c r="B174" s="862" t="s">
        <v>3662</v>
      </c>
      <c r="C174" s="1299">
        <v>31</v>
      </c>
      <c r="D174" s="848">
        <v>55</v>
      </c>
      <c r="E174" s="999">
        <v>54</v>
      </c>
      <c r="F174" s="848">
        <v>32</v>
      </c>
      <c r="G174" s="960">
        <f t="shared" si="7"/>
        <v>85</v>
      </c>
      <c r="H174" s="898">
        <f t="shared" si="7"/>
        <v>87</v>
      </c>
    </row>
    <row r="175" spans="1:8" s="8" customFormat="1" ht="12" customHeight="1">
      <c r="A175" s="1302" t="s">
        <v>3663</v>
      </c>
      <c r="B175" s="862" t="s">
        <v>3664</v>
      </c>
      <c r="C175" s="1299">
        <v>44</v>
      </c>
      <c r="D175" s="848">
        <v>72</v>
      </c>
      <c r="E175" s="999">
        <v>0</v>
      </c>
      <c r="F175" s="848">
        <v>0</v>
      </c>
      <c r="G175" s="960">
        <f t="shared" si="7"/>
        <v>44</v>
      </c>
      <c r="H175" s="898">
        <f t="shared" si="7"/>
        <v>72</v>
      </c>
    </row>
    <row r="176" spans="1:8" s="8" customFormat="1" ht="12" customHeight="1">
      <c r="A176" s="1311" t="s">
        <v>3665</v>
      </c>
      <c r="B176" s="1312" t="s">
        <v>3666</v>
      </c>
      <c r="C176" s="1305"/>
      <c r="D176" s="1306"/>
      <c r="E176" s="1307"/>
      <c r="F176" s="1306"/>
      <c r="G176" s="1308">
        <f t="shared" si="7"/>
        <v>0</v>
      </c>
      <c r="H176" s="1309">
        <v>0</v>
      </c>
    </row>
    <row r="177" spans="1:8" s="8" customFormat="1" ht="12" customHeight="1">
      <c r="A177" s="1313" t="s">
        <v>3667</v>
      </c>
      <c r="B177" s="1314" t="s">
        <v>3668</v>
      </c>
      <c r="C177" s="1315">
        <v>2</v>
      </c>
      <c r="D177" s="1316">
        <v>3</v>
      </c>
      <c r="E177" s="1317">
        <v>2</v>
      </c>
      <c r="F177" s="1316">
        <v>10</v>
      </c>
      <c r="G177" s="1318">
        <f t="shared" si="7"/>
        <v>4</v>
      </c>
      <c r="H177" s="1319">
        <f t="shared" si="7"/>
        <v>13</v>
      </c>
    </row>
    <row r="178" spans="1:8" s="8" customFormat="1" ht="12" customHeight="1">
      <c r="A178" s="1320" t="s">
        <v>3669</v>
      </c>
      <c r="B178" s="1321" t="s">
        <v>3670</v>
      </c>
      <c r="C178" s="1322"/>
      <c r="D178" s="1323"/>
      <c r="E178" s="1323"/>
      <c r="F178" s="1323"/>
      <c r="G178" s="1309">
        <f t="shared" si="7"/>
        <v>0</v>
      </c>
      <c r="H178" s="1309">
        <v>0</v>
      </c>
    </row>
    <row r="179" spans="1:8" s="8" customFormat="1" ht="12" customHeight="1">
      <c r="A179" s="863" t="s">
        <v>3671</v>
      </c>
      <c r="B179" s="902" t="s">
        <v>3672</v>
      </c>
      <c r="C179" s="1002">
        <v>23</v>
      </c>
      <c r="D179" s="901">
        <v>1</v>
      </c>
      <c r="E179" s="898">
        <v>1</v>
      </c>
      <c r="F179" s="901">
        <v>1</v>
      </c>
      <c r="G179" s="898">
        <f t="shared" si="7"/>
        <v>24</v>
      </c>
      <c r="H179" s="898">
        <f t="shared" si="7"/>
        <v>2</v>
      </c>
    </row>
    <row r="180" spans="1:8" s="8" customFormat="1" ht="12" customHeight="1">
      <c r="A180" s="1225" t="s">
        <v>3976</v>
      </c>
      <c r="B180" s="1226" t="s">
        <v>3977</v>
      </c>
      <c r="C180" s="1227">
        <v>0</v>
      </c>
      <c r="D180" s="887">
        <v>20</v>
      </c>
      <c r="E180" s="887">
        <v>0</v>
      </c>
      <c r="F180" s="887">
        <v>0</v>
      </c>
      <c r="G180" s="901">
        <f t="shared" ref="G180:G187" si="8">C180+E180</f>
        <v>0</v>
      </c>
      <c r="H180" s="901">
        <f t="shared" ref="H180:H187" si="9">D180+F180</f>
        <v>20</v>
      </c>
    </row>
    <row r="181" spans="1:8" s="8" customFormat="1" ht="12" customHeight="1">
      <c r="A181" s="863" t="s">
        <v>4052</v>
      </c>
      <c r="B181" s="1300" t="s">
        <v>4053</v>
      </c>
      <c r="C181" s="1301">
        <v>0</v>
      </c>
      <c r="D181" s="848">
        <v>2</v>
      </c>
      <c r="E181" s="848">
        <v>1</v>
      </c>
      <c r="F181" s="848">
        <v>8</v>
      </c>
      <c r="G181" s="848">
        <f t="shared" si="8"/>
        <v>1</v>
      </c>
      <c r="H181" s="901">
        <f t="shared" si="9"/>
        <v>10</v>
      </c>
    </row>
    <row r="182" spans="1:8" s="8" customFormat="1" ht="12" customHeight="1">
      <c r="A182" s="863" t="s">
        <v>4054</v>
      </c>
      <c r="B182" s="1300" t="s">
        <v>4055</v>
      </c>
      <c r="C182" s="1301">
        <v>0</v>
      </c>
      <c r="D182" s="848">
        <v>3</v>
      </c>
      <c r="E182" s="848">
        <v>2</v>
      </c>
      <c r="F182" s="848">
        <v>3</v>
      </c>
      <c r="G182" s="848">
        <f t="shared" si="8"/>
        <v>2</v>
      </c>
      <c r="H182" s="901">
        <f t="shared" si="9"/>
        <v>6</v>
      </c>
    </row>
    <row r="183" spans="1:8" s="8" customFormat="1" ht="12" customHeight="1">
      <c r="A183" s="863" t="s">
        <v>4056</v>
      </c>
      <c r="B183" s="1300" t="s">
        <v>4057</v>
      </c>
      <c r="C183" s="1301">
        <v>0</v>
      </c>
      <c r="D183" s="848">
        <v>1</v>
      </c>
      <c r="E183" s="848">
        <v>0</v>
      </c>
      <c r="F183" s="848">
        <v>1</v>
      </c>
      <c r="G183" s="848">
        <f t="shared" si="8"/>
        <v>0</v>
      </c>
      <c r="H183" s="901">
        <f t="shared" si="9"/>
        <v>2</v>
      </c>
    </row>
    <row r="184" spans="1:8" s="8" customFormat="1" ht="12" customHeight="1">
      <c r="A184" s="863" t="s">
        <v>4058</v>
      </c>
      <c r="B184" s="1300" t="s">
        <v>4059</v>
      </c>
      <c r="C184" s="1301">
        <v>0</v>
      </c>
      <c r="D184" s="848">
        <v>3</v>
      </c>
      <c r="E184" s="848">
        <v>0</v>
      </c>
      <c r="F184" s="848">
        <v>3</v>
      </c>
      <c r="G184" s="848">
        <f t="shared" si="8"/>
        <v>0</v>
      </c>
      <c r="H184" s="901">
        <f t="shared" si="9"/>
        <v>6</v>
      </c>
    </row>
    <row r="185" spans="1:8" s="8" customFormat="1" ht="12" customHeight="1">
      <c r="A185" s="863" t="s">
        <v>4060</v>
      </c>
      <c r="B185" s="1300" t="s">
        <v>4061</v>
      </c>
      <c r="C185" s="1301">
        <v>48</v>
      </c>
      <c r="D185" s="848">
        <v>450</v>
      </c>
      <c r="E185" s="848">
        <v>8</v>
      </c>
      <c r="F185" s="848">
        <v>42</v>
      </c>
      <c r="G185" s="848">
        <f t="shared" si="8"/>
        <v>56</v>
      </c>
      <c r="H185" s="901">
        <f t="shared" si="9"/>
        <v>492</v>
      </c>
    </row>
    <row r="186" spans="1:8" s="8" customFormat="1" ht="12" customHeight="1">
      <c r="A186" s="863" t="s">
        <v>4062</v>
      </c>
      <c r="B186" s="1300" t="s">
        <v>4063</v>
      </c>
      <c r="C186" s="1301">
        <v>2</v>
      </c>
      <c r="D186" s="848">
        <v>25</v>
      </c>
      <c r="E186" s="848">
        <v>0</v>
      </c>
      <c r="F186" s="848">
        <v>15</v>
      </c>
      <c r="G186" s="848">
        <f t="shared" si="8"/>
        <v>2</v>
      </c>
      <c r="H186" s="901">
        <f t="shared" si="9"/>
        <v>40</v>
      </c>
    </row>
    <row r="187" spans="1:8" s="8" customFormat="1" ht="12" customHeight="1">
      <c r="A187" s="863" t="s">
        <v>4064</v>
      </c>
      <c r="B187" s="1300" t="s">
        <v>4065</v>
      </c>
      <c r="C187" s="1301">
        <v>1</v>
      </c>
      <c r="D187" s="848">
        <v>3</v>
      </c>
      <c r="E187" s="848">
        <v>0</v>
      </c>
      <c r="F187" s="848">
        <v>2</v>
      </c>
      <c r="G187" s="848">
        <f t="shared" si="8"/>
        <v>1</v>
      </c>
      <c r="H187" s="901">
        <f t="shared" si="9"/>
        <v>5</v>
      </c>
    </row>
    <row r="188" spans="1:8" s="8" customFormat="1">
      <c r="A188" s="864" t="s">
        <v>244</v>
      </c>
      <c r="B188" s="864"/>
      <c r="C188" s="1228">
        <v>1219</v>
      </c>
      <c r="D188" s="1228">
        <v>4950</v>
      </c>
      <c r="E188" s="1228">
        <v>110</v>
      </c>
      <c r="F188" s="1228">
        <v>590</v>
      </c>
      <c r="G188" s="1003">
        <f>C188+E188</f>
        <v>1329</v>
      </c>
      <c r="H188" s="903">
        <f>D188+F188</f>
        <v>5540</v>
      </c>
    </row>
    <row r="189" spans="1:8" s="8" customFormat="1">
      <c r="A189" s="865" t="s">
        <v>245</v>
      </c>
      <c r="B189" s="865"/>
      <c r="C189" s="682">
        <v>2278</v>
      </c>
      <c r="D189" s="682">
        <v>6000</v>
      </c>
      <c r="E189" s="682">
        <v>146</v>
      </c>
      <c r="F189" s="682">
        <v>610</v>
      </c>
      <c r="G189" s="1004">
        <f>+C189+E189</f>
        <v>2424</v>
      </c>
      <c r="H189" s="897">
        <f>D189+F189</f>
        <v>6610</v>
      </c>
    </row>
    <row r="190" spans="1:8" customFormat="1" ht="24" customHeight="1">
      <c r="A190" s="683" t="s">
        <v>3391</v>
      </c>
      <c r="B190" s="1901"/>
      <c r="C190" s="1902"/>
      <c r="D190" s="1902"/>
      <c r="E190" s="1902"/>
      <c r="F190" s="1902"/>
      <c r="G190" s="1902"/>
      <c r="H190" s="1903"/>
    </row>
    <row r="191" spans="1:8" s="8" customFormat="1">
      <c r="A191" s="116" t="s">
        <v>246</v>
      </c>
      <c r="B191" s="116"/>
      <c r="C191" s="115"/>
      <c r="D191" s="331"/>
      <c r="E191" s="329"/>
      <c r="F191" s="329"/>
      <c r="G191" s="116"/>
      <c r="H191" s="116"/>
    </row>
    <row r="192" spans="1:8" s="8" customFormat="1">
      <c r="A192" s="994"/>
      <c r="B192" s="116"/>
      <c r="C192" s="115"/>
      <c r="D192" s="331"/>
      <c r="E192" s="329"/>
      <c r="F192" s="329"/>
      <c r="G192" s="116"/>
      <c r="H192" s="116"/>
    </row>
    <row r="193" spans="1:8" s="8" customFormat="1">
      <c r="A193" s="994"/>
      <c r="B193" s="116"/>
      <c r="C193" s="115"/>
      <c r="D193" s="331"/>
      <c r="E193" s="329"/>
      <c r="F193" s="329"/>
      <c r="G193" s="116"/>
      <c r="H193" s="116"/>
    </row>
    <row r="194" spans="1:8" s="8" customFormat="1">
      <c r="A194" s="994"/>
      <c r="B194" s="116"/>
      <c r="C194" s="115"/>
      <c r="D194" s="331"/>
      <c r="E194" s="329"/>
      <c r="F194" s="329"/>
      <c r="G194" s="116"/>
      <c r="H194" s="116"/>
    </row>
    <row r="195" spans="1:8" s="8" customFormat="1">
      <c r="A195" s="994"/>
      <c r="B195" s="116"/>
      <c r="C195" s="115"/>
      <c r="D195" s="331"/>
      <c r="E195" s="329"/>
      <c r="F195" s="329"/>
      <c r="G195" s="116"/>
      <c r="H195" s="116"/>
    </row>
    <row r="196" spans="1:8" s="8" customFormat="1">
      <c r="A196" s="116"/>
      <c r="B196" s="116"/>
      <c r="C196" s="994"/>
      <c r="D196" s="184"/>
      <c r="E196" s="329"/>
      <c r="F196" s="329"/>
      <c r="G196" s="116"/>
      <c r="H196" s="116"/>
    </row>
    <row r="197" spans="1:8" s="50" customFormat="1">
      <c r="A197" s="116" t="s">
        <v>244</v>
      </c>
      <c r="B197" s="116"/>
      <c r="C197" s="115"/>
      <c r="D197" s="331"/>
      <c r="E197" s="329"/>
      <c r="F197" s="329"/>
      <c r="G197" s="116"/>
      <c r="H197" s="116"/>
    </row>
    <row r="198" spans="1:8" s="50" customFormat="1">
      <c r="A198" s="116" t="s">
        <v>245</v>
      </c>
      <c r="B198" s="116"/>
      <c r="C198" s="115"/>
      <c r="D198" s="331"/>
      <c r="E198" s="329"/>
      <c r="F198" s="329"/>
      <c r="G198" s="116"/>
      <c r="H198" s="116"/>
    </row>
    <row r="199" spans="1:8" s="50" customFormat="1">
      <c r="A199" s="116" t="s">
        <v>247</v>
      </c>
      <c r="B199" s="116"/>
      <c r="C199" s="115"/>
      <c r="D199" s="331"/>
      <c r="E199" s="329"/>
      <c r="F199" s="329"/>
      <c r="G199" s="116"/>
      <c r="H199" s="116"/>
    </row>
    <row r="200" spans="1:8" s="50" customFormat="1">
      <c r="A200" s="116"/>
      <c r="B200" s="116"/>
      <c r="C200" s="115"/>
      <c r="D200" s="331"/>
      <c r="E200" s="329"/>
      <c r="F200" s="329"/>
      <c r="G200" s="116"/>
      <c r="H200" s="116"/>
    </row>
    <row r="201" spans="1:8" s="50" customFormat="1">
      <c r="A201" s="116"/>
      <c r="B201" s="116"/>
      <c r="C201" s="115"/>
      <c r="D201" s="331"/>
      <c r="E201" s="329"/>
      <c r="F201" s="329"/>
      <c r="G201" s="116"/>
      <c r="H201" s="116"/>
    </row>
    <row r="202" spans="1:8" s="8" customFormat="1">
      <c r="A202" s="121"/>
      <c r="B202" s="118"/>
      <c r="C202" s="122"/>
      <c r="D202" s="904"/>
      <c r="E202" s="99"/>
      <c r="F202" s="99"/>
      <c r="G202" s="297"/>
      <c r="H202" s="118"/>
    </row>
    <row r="203" spans="1:8" s="8" customFormat="1">
      <c r="A203" s="121"/>
      <c r="B203" s="118"/>
      <c r="C203" s="122"/>
      <c r="D203" s="904"/>
      <c r="E203" s="99"/>
      <c r="F203" s="99"/>
      <c r="G203" s="297"/>
      <c r="H203" s="118"/>
    </row>
    <row r="204" spans="1:8" s="8" customFormat="1">
      <c r="A204" s="238" t="s">
        <v>244</v>
      </c>
      <c r="B204" s="118"/>
      <c r="C204" s="121"/>
      <c r="D204" s="905"/>
      <c r="E204" s="99"/>
      <c r="F204" s="99"/>
      <c r="G204" s="297"/>
      <c r="H204" s="118"/>
    </row>
    <row r="205" spans="1:8" s="8" customFormat="1" ht="11.25" customHeight="1">
      <c r="A205" s="217" t="s">
        <v>245</v>
      </c>
      <c r="B205" s="117"/>
      <c r="C205" s="994"/>
      <c r="D205" s="184"/>
      <c r="E205" s="329"/>
      <c r="F205" s="329"/>
      <c r="G205" s="117"/>
      <c r="H205" s="116"/>
    </row>
    <row r="206" spans="1:8" s="8" customFormat="1">
      <c r="A206" s="218" t="s">
        <v>250</v>
      </c>
      <c r="B206" s="119"/>
      <c r="C206" s="115"/>
      <c r="D206" s="331"/>
      <c r="E206" s="329"/>
      <c r="F206" s="329"/>
      <c r="G206" s="117"/>
      <c r="H206" s="116"/>
    </row>
    <row r="207" spans="1:8" s="8" customFormat="1">
      <c r="A207" s="131" t="s">
        <v>251</v>
      </c>
      <c r="B207" s="130" t="s">
        <v>164</v>
      </c>
      <c r="C207" s="115"/>
      <c r="D207" s="331"/>
      <c r="E207" s="329"/>
      <c r="F207" s="329"/>
      <c r="G207" s="117"/>
      <c r="H207" s="116"/>
    </row>
    <row r="208" spans="1:8" s="8" customFormat="1">
      <c r="A208" s="131" t="s">
        <v>252</v>
      </c>
      <c r="B208" s="130" t="s">
        <v>165</v>
      </c>
      <c r="C208" s="122"/>
      <c r="D208" s="904"/>
      <c r="E208" s="99"/>
      <c r="F208" s="99"/>
      <c r="G208" s="297"/>
      <c r="H208" s="118"/>
    </row>
    <row r="209" spans="1:8" s="8" customFormat="1" ht="25.5">
      <c r="A209" s="131" t="s">
        <v>253</v>
      </c>
      <c r="B209" s="130" t="s">
        <v>166</v>
      </c>
      <c r="C209" s="122"/>
      <c r="D209" s="904"/>
      <c r="E209" s="99"/>
      <c r="F209" s="99"/>
      <c r="G209" s="297"/>
      <c r="H209" s="118"/>
    </row>
    <row r="210" spans="1:8" s="8" customFormat="1" ht="76.5">
      <c r="A210" s="131" t="s">
        <v>254</v>
      </c>
      <c r="B210" s="130" t="s">
        <v>171</v>
      </c>
      <c r="C210" s="122"/>
      <c r="D210" s="904"/>
      <c r="E210" s="99"/>
      <c r="F210" s="99"/>
      <c r="G210" s="297"/>
      <c r="H210" s="118"/>
    </row>
    <row r="211" spans="1:8" s="8" customFormat="1" ht="114.75">
      <c r="A211" s="131" t="s">
        <v>255</v>
      </c>
      <c r="B211" s="130" t="s">
        <v>170</v>
      </c>
      <c r="C211" s="122"/>
      <c r="D211" s="904"/>
      <c r="E211" s="99"/>
      <c r="F211" s="99"/>
      <c r="G211" s="297"/>
      <c r="H211" s="118"/>
    </row>
    <row r="212" spans="1:8" s="8" customFormat="1">
      <c r="A212" s="238" t="s">
        <v>244</v>
      </c>
      <c r="B212" s="118"/>
      <c r="C212" s="121"/>
      <c r="D212" s="905"/>
      <c r="E212" s="99"/>
      <c r="F212" s="99"/>
      <c r="G212" s="297"/>
      <c r="H212" s="118"/>
    </row>
    <row r="213" spans="1:8" s="8" customFormat="1">
      <c r="A213" s="217" t="s">
        <v>245</v>
      </c>
      <c r="B213" s="116"/>
      <c r="C213" s="994"/>
      <c r="D213" s="184"/>
      <c r="E213" s="329"/>
      <c r="F213" s="329"/>
      <c r="G213" s="117"/>
      <c r="H213" s="116"/>
    </row>
    <row r="214" spans="1:8" s="8" customFormat="1">
      <c r="A214" s="866" t="s">
        <v>249</v>
      </c>
      <c r="B214" s="119"/>
      <c r="C214" s="115"/>
      <c r="D214" s="331"/>
      <c r="E214" s="329"/>
      <c r="F214" s="329"/>
      <c r="G214" s="117"/>
      <c r="H214" s="116"/>
    </row>
    <row r="215" spans="1:8" s="8" customFormat="1" ht="51">
      <c r="A215" s="131" t="s">
        <v>256</v>
      </c>
      <c r="B215" s="130" t="s">
        <v>167</v>
      </c>
      <c r="C215" s="122"/>
      <c r="D215" s="904"/>
      <c r="E215" s="99"/>
      <c r="F215" s="99"/>
      <c r="G215" s="297"/>
      <c r="H215" s="118"/>
    </row>
    <row r="216" spans="1:8" s="8" customFormat="1" ht="51">
      <c r="A216" s="131" t="s">
        <v>3673</v>
      </c>
      <c r="B216" s="130" t="s">
        <v>3674</v>
      </c>
      <c r="C216" s="122"/>
      <c r="D216" s="904"/>
      <c r="E216" s="99"/>
      <c r="F216" s="99"/>
      <c r="G216" s="297"/>
      <c r="H216" s="118"/>
    </row>
    <row r="217" spans="1:8" s="8" customFormat="1" ht="51">
      <c r="A217" s="131" t="s">
        <v>3675</v>
      </c>
      <c r="B217" s="130" t="s">
        <v>3676</v>
      </c>
      <c r="C217" s="122"/>
      <c r="D217" s="904"/>
      <c r="E217" s="99"/>
      <c r="F217" s="99"/>
      <c r="G217" s="297"/>
      <c r="H217" s="118"/>
    </row>
    <row r="218" spans="1:8" s="8" customFormat="1" ht="51">
      <c r="A218" s="131" t="s">
        <v>3677</v>
      </c>
      <c r="B218" s="130" t="s">
        <v>3678</v>
      </c>
      <c r="C218" s="122"/>
      <c r="D218" s="904"/>
      <c r="E218" s="99"/>
      <c r="F218" s="99"/>
      <c r="G218" s="297"/>
      <c r="H218" s="118"/>
    </row>
    <row r="219" spans="1:8" s="8" customFormat="1">
      <c r="A219" s="131" t="s">
        <v>257</v>
      </c>
      <c r="B219" s="116" t="s">
        <v>168</v>
      </c>
      <c r="C219" s="122"/>
      <c r="D219" s="904"/>
      <c r="E219" s="99"/>
      <c r="F219" s="99"/>
      <c r="G219" s="297"/>
      <c r="H219" s="118"/>
    </row>
    <row r="220" spans="1:8" s="8" customFormat="1">
      <c r="A220" s="131" t="s">
        <v>258</v>
      </c>
      <c r="B220" s="130" t="s">
        <v>169</v>
      </c>
      <c r="C220" s="122"/>
      <c r="D220" s="904"/>
      <c r="E220" s="99"/>
      <c r="F220" s="99"/>
      <c r="G220" s="297"/>
      <c r="H220" s="118"/>
    </row>
    <row r="221" spans="1:8" s="8" customFormat="1" ht="25.5">
      <c r="A221" s="131" t="s">
        <v>3679</v>
      </c>
      <c r="B221" s="130" t="s">
        <v>3680</v>
      </c>
      <c r="C221" s="122"/>
      <c r="D221" s="904"/>
      <c r="E221" s="99"/>
      <c r="F221" s="99"/>
      <c r="G221" s="297"/>
      <c r="H221" s="118"/>
    </row>
    <row r="222" spans="1:8" s="8" customFormat="1">
      <c r="A222" s="131" t="s">
        <v>3681</v>
      </c>
      <c r="B222" s="130" t="s">
        <v>3682</v>
      </c>
      <c r="C222" s="122"/>
      <c r="D222" s="904"/>
      <c r="E222" s="99"/>
      <c r="F222" s="99"/>
      <c r="G222" s="297"/>
      <c r="H222" s="118"/>
    </row>
    <row r="223" spans="1:8" s="8" customFormat="1" ht="25.5">
      <c r="A223" s="131" t="s">
        <v>3683</v>
      </c>
      <c r="B223" s="130" t="s">
        <v>3684</v>
      </c>
      <c r="C223" s="122"/>
      <c r="D223" s="904"/>
      <c r="E223" s="99"/>
      <c r="F223" s="99"/>
      <c r="G223" s="297"/>
      <c r="H223" s="118"/>
    </row>
    <row r="224" spans="1:8" s="8" customFormat="1">
      <c r="A224" s="238" t="s">
        <v>244</v>
      </c>
      <c r="B224" s="116"/>
      <c r="C224" s="121"/>
      <c r="D224" s="905"/>
      <c r="E224" s="99"/>
      <c r="F224" s="99"/>
      <c r="G224" s="297"/>
      <c r="H224" s="118"/>
    </row>
    <row r="225" spans="1:8" s="8" customFormat="1">
      <c r="A225" s="217" t="s">
        <v>245</v>
      </c>
      <c r="B225" s="117"/>
      <c r="C225" s="994"/>
      <c r="D225" s="184"/>
      <c r="E225" s="329"/>
      <c r="F225" s="329"/>
      <c r="G225" s="117"/>
      <c r="H225" s="116"/>
    </row>
    <row r="226" spans="1:8" s="8" customFormat="1" ht="30" customHeight="1">
      <c r="A226" s="217" t="s">
        <v>248</v>
      </c>
      <c r="B226" s="117"/>
      <c r="C226" s="115"/>
      <c r="D226" s="331"/>
      <c r="E226" s="329"/>
      <c r="F226" s="329"/>
      <c r="G226" s="117"/>
      <c r="H226" s="116"/>
    </row>
    <row r="227" spans="1:8" s="8" customFormat="1">
      <c r="A227" s="994"/>
      <c r="B227" s="116"/>
      <c r="C227" s="115"/>
      <c r="D227" s="331"/>
      <c r="E227" s="329"/>
      <c r="F227" s="329"/>
      <c r="G227" s="117"/>
      <c r="H227" s="116"/>
    </row>
    <row r="228" spans="1:8" s="8" customFormat="1">
      <c r="A228" s="994"/>
      <c r="B228" s="116"/>
      <c r="C228" s="115"/>
      <c r="D228" s="331"/>
      <c r="E228" s="329"/>
      <c r="F228" s="329"/>
      <c r="G228" s="117"/>
      <c r="H228" s="116"/>
    </row>
    <row r="229" spans="1:8" s="8" customFormat="1">
      <c r="A229" s="994"/>
      <c r="B229" s="116"/>
      <c r="C229" s="115"/>
      <c r="D229" s="331"/>
      <c r="E229" s="329"/>
      <c r="F229" s="329"/>
      <c r="G229" s="117"/>
      <c r="H229" s="116"/>
    </row>
    <row r="230" spans="1:8" s="8" customFormat="1">
      <c r="A230" s="994"/>
      <c r="B230" s="116"/>
      <c r="C230" s="115"/>
      <c r="D230" s="331"/>
      <c r="E230" s="329"/>
      <c r="F230" s="329"/>
      <c r="G230" s="117"/>
      <c r="H230" s="116"/>
    </row>
    <row r="231" spans="1:8" s="8" customFormat="1">
      <c r="A231" s="118" t="s">
        <v>7</v>
      </c>
      <c r="B231" s="118"/>
      <c r="C231" s="121"/>
      <c r="D231" s="905"/>
      <c r="E231" s="99"/>
      <c r="F231" s="99"/>
      <c r="G231" s="297"/>
      <c r="H231" s="118"/>
    </row>
    <row r="232" spans="1:8" s="8" customFormat="1">
      <c r="A232" s="116" t="s">
        <v>8</v>
      </c>
      <c r="B232" s="116"/>
      <c r="C232" s="994"/>
      <c r="D232" s="184"/>
      <c r="E232" s="329"/>
      <c r="F232" s="329"/>
      <c r="G232" s="117"/>
      <c r="H232" s="116"/>
    </row>
    <row r="233" spans="1:8" s="8" customFormat="1" ht="39.950000000000003" customHeight="1">
      <c r="A233" s="217" t="s">
        <v>332</v>
      </c>
      <c r="B233" s="117"/>
      <c r="C233" s="115"/>
      <c r="D233" s="331"/>
      <c r="E233" s="329"/>
      <c r="F233" s="329"/>
      <c r="G233" s="117"/>
      <c r="H233" s="116"/>
    </row>
    <row r="234" spans="1:8" s="8" customFormat="1">
      <c r="A234" s="994"/>
      <c r="B234" s="116"/>
      <c r="C234" s="115"/>
      <c r="D234" s="331"/>
      <c r="E234" s="329"/>
      <c r="F234" s="329"/>
      <c r="G234" s="116"/>
      <c r="H234" s="116"/>
    </row>
    <row r="235" spans="1:8" s="8" customFormat="1">
      <c r="A235" s="994"/>
      <c r="B235" s="116"/>
      <c r="C235" s="115"/>
      <c r="D235" s="331"/>
      <c r="E235" s="329"/>
      <c r="F235" s="329"/>
      <c r="G235" s="116"/>
      <c r="H235" s="116"/>
    </row>
    <row r="236" spans="1:8" s="8" customFormat="1" ht="13.5" thickBot="1">
      <c r="A236" s="994"/>
      <c r="B236" s="116"/>
      <c r="C236" s="123"/>
      <c r="D236" s="906"/>
      <c r="E236" s="907"/>
      <c r="F236" s="907"/>
      <c r="G236" s="298"/>
      <c r="H236" s="298"/>
    </row>
    <row r="237" spans="1:8" s="8" customFormat="1" ht="13.5" thickTop="1">
      <c r="A237" s="239" t="s">
        <v>120</v>
      </c>
      <c r="B237" s="124"/>
      <c r="C237" s="125"/>
      <c r="D237" s="905"/>
      <c r="E237" s="99"/>
      <c r="F237" s="99"/>
      <c r="G237" s="300"/>
      <c r="H237" s="299"/>
    </row>
    <row r="238" spans="1:8" s="8" customFormat="1">
      <c r="A238" s="240" t="s">
        <v>121</v>
      </c>
      <c r="B238" s="126"/>
      <c r="C238" s="127"/>
      <c r="D238" s="184"/>
      <c r="E238" s="329"/>
      <c r="F238" s="329"/>
      <c r="G238" s="126"/>
      <c r="H238" s="301"/>
    </row>
    <row r="239" spans="1:8" s="8" customFormat="1" ht="13.5" customHeight="1" thickBot="1">
      <c r="A239" s="241" t="s">
        <v>122</v>
      </c>
      <c r="B239" s="128"/>
      <c r="C239" s="129"/>
      <c r="D239" s="908"/>
      <c r="E239" s="909"/>
      <c r="F239" s="909"/>
      <c r="G239" s="303"/>
      <c r="H239" s="302"/>
    </row>
    <row r="240" spans="1:8" s="8" customFormat="1" ht="13.5" customHeight="1" thickBot="1">
      <c r="A240" s="910"/>
      <c r="B240" s="911" t="s">
        <v>3685</v>
      </c>
      <c r="C240" s="912"/>
      <c r="D240" s="913"/>
      <c r="E240" s="85"/>
      <c r="F240" s="85"/>
      <c r="G240" s="914"/>
      <c r="H240" s="915"/>
    </row>
    <row r="241" spans="1:9" s="52" customFormat="1" ht="27" customHeight="1">
      <c r="A241" s="1895" t="s">
        <v>322</v>
      </c>
      <c r="B241" s="1896"/>
      <c r="C241" s="1896"/>
      <c r="D241" s="1896"/>
      <c r="E241" s="1896"/>
      <c r="F241" s="1896"/>
      <c r="G241" s="1896"/>
      <c r="H241" s="1897"/>
      <c r="I241" s="993"/>
    </row>
    <row r="242" spans="1:9" s="52" customFormat="1" ht="21.75" customHeight="1">
      <c r="A242" s="1898" t="s">
        <v>323</v>
      </c>
      <c r="B242" s="1899"/>
      <c r="C242" s="1899"/>
      <c r="D242" s="1899"/>
      <c r="E242" s="1899"/>
      <c r="F242" s="1899"/>
      <c r="G242" s="1899"/>
      <c r="H242" s="1900"/>
      <c r="I242" s="993"/>
    </row>
    <row r="243" spans="1:9" ht="15.95" customHeight="1"/>
    <row r="244" spans="1:9" ht="15.95" customHeight="1"/>
    <row r="245" spans="1:9" ht="15.95" customHeight="1"/>
    <row r="246" spans="1:9" ht="15.95" customHeight="1"/>
    <row r="247" spans="1:9" ht="15.95" customHeight="1"/>
    <row r="248" spans="1:9" ht="15.95" customHeight="1"/>
    <row r="249" spans="1:9" ht="15.95" customHeight="1"/>
    <row r="250" spans="1:9" ht="15.95" customHeight="1"/>
    <row r="251" spans="1:9" ht="15.95" customHeight="1"/>
    <row r="252" spans="1:9" ht="15.95" customHeight="1"/>
    <row r="253" spans="1:9" ht="15.95" customHeight="1"/>
    <row r="254" spans="1:9" ht="15.95" customHeight="1"/>
    <row r="255" spans="1:9" ht="15.95" customHeight="1"/>
    <row r="256" spans="1:9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</sheetData>
  <mergeCells count="8">
    <mergeCell ref="A241:H241"/>
    <mergeCell ref="A242:H242"/>
    <mergeCell ref="A6:A7"/>
    <mergeCell ref="B6:B7"/>
    <mergeCell ref="C6:D6"/>
    <mergeCell ref="E6:F6"/>
    <mergeCell ref="G6:H6"/>
    <mergeCell ref="B190:H190"/>
  </mergeCells>
  <printOptions horizontalCentered="1"/>
  <pageMargins left="0.74803149606299213" right="0.74803149606299213" top="0.59055118110236227" bottom="0.59055118110236227" header="0.51181102362204722" footer="0.51181102362204722"/>
  <pageSetup paperSize="9" scale="76" orientation="portrait" r:id="rId1"/>
  <headerFooter alignWithMargins="0">
    <oddFooter>&amp;R &amp;P</oddFooter>
  </headerFooter>
  <rowBreaks count="1" manualBreakCount="1">
    <brk id="2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SheetLayoutView="100" workbookViewId="0">
      <selection activeCell="B9" sqref="B9:AF24"/>
    </sheetView>
  </sheetViews>
  <sheetFormatPr defaultRowHeight="15.75"/>
  <cols>
    <col min="1" max="1" width="21.42578125" style="13" customWidth="1"/>
    <col min="2" max="2" width="4.85546875" style="13" customWidth="1"/>
    <col min="3" max="3" width="10.5703125" style="13" customWidth="1"/>
    <col min="4" max="4" width="6.85546875" style="13" customWidth="1"/>
    <col min="5" max="11" width="4" style="13" customWidth="1"/>
    <col min="12" max="14" width="4" style="15" customWidth="1"/>
    <col min="15" max="15" width="4" style="38" customWidth="1"/>
    <col min="16" max="17" width="4" style="13" customWidth="1"/>
    <col min="18" max="19" width="4" style="15" customWidth="1"/>
    <col min="20" max="20" width="4" style="38" customWidth="1"/>
    <col min="21" max="22" width="4" style="13" customWidth="1"/>
    <col min="23" max="23" width="4" style="16" customWidth="1"/>
    <col min="24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63"/>
      <c r="B1" s="164" t="s">
        <v>187</v>
      </c>
      <c r="C1" s="233" t="s">
        <v>3691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</row>
    <row r="2" spans="1:32" ht="15.75" customHeight="1">
      <c r="A2" s="163"/>
      <c r="B2" s="164" t="s">
        <v>188</v>
      </c>
      <c r="C2" s="233">
        <v>17862944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1:32">
      <c r="A3" s="163"/>
      <c r="B3" s="164" t="s">
        <v>189</v>
      </c>
      <c r="C3" s="1114">
        <v>44927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</row>
    <row r="4" spans="1:32">
      <c r="A4" s="163"/>
      <c r="B4" s="164" t="s">
        <v>1814</v>
      </c>
      <c r="C4" s="322" t="s">
        <v>314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8"/>
    </row>
    <row r="5" spans="1:32" ht="12.75" customHeight="1">
      <c r="A5" s="55"/>
      <c r="C5" s="54"/>
      <c r="D5" s="26"/>
      <c r="E5" s="26"/>
      <c r="F5" s="26"/>
      <c r="G5" s="26"/>
      <c r="H5" s="26"/>
      <c r="I5" s="26"/>
      <c r="J5" s="26"/>
    </row>
    <row r="6" spans="1:32" s="49" customFormat="1" ht="34.5" customHeight="1">
      <c r="A6" s="1836" t="s">
        <v>56</v>
      </c>
      <c r="B6" s="1832" t="s">
        <v>1828</v>
      </c>
      <c r="C6" s="1832" t="s">
        <v>1829</v>
      </c>
      <c r="D6" s="1832" t="s">
        <v>1830</v>
      </c>
      <c r="E6" s="1833" t="s">
        <v>57</v>
      </c>
      <c r="F6" s="1833"/>
      <c r="G6" s="1833"/>
      <c r="H6" s="1833"/>
      <c r="I6" s="1836" t="s">
        <v>197</v>
      </c>
      <c r="J6" s="1836"/>
      <c r="K6" s="1836"/>
      <c r="L6" s="1836"/>
      <c r="M6" s="1836"/>
      <c r="N6" s="1836"/>
      <c r="O6" s="1836"/>
      <c r="P6" s="1836"/>
      <c r="Q6" s="1836"/>
      <c r="R6" s="1836"/>
      <c r="S6" s="1836"/>
      <c r="T6" s="1836"/>
      <c r="U6" s="1836"/>
      <c r="V6" s="1836"/>
      <c r="W6" s="1836"/>
      <c r="X6" s="1836"/>
      <c r="Y6" s="1836"/>
      <c r="Z6" s="1836"/>
      <c r="AA6" s="1836"/>
      <c r="AB6" s="1836"/>
      <c r="AC6" s="1836"/>
      <c r="AD6" s="1833" t="s">
        <v>194</v>
      </c>
      <c r="AE6" s="1833"/>
      <c r="AF6" s="1833"/>
    </row>
    <row r="7" spans="1:32" s="26" customFormat="1" ht="47.25" customHeight="1">
      <c r="A7" s="1836"/>
      <c r="B7" s="1832"/>
      <c r="C7" s="1832"/>
      <c r="D7" s="1832"/>
      <c r="E7" s="1832" t="s">
        <v>123</v>
      </c>
      <c r="F7" s="1832" t="s">
        <v>23</v>
      </c>
      <c r="G7" s="1832" t="s">
        <v>24</v>
      </c>
      <c r="H7" s="1834" t="s">
        <v>2</v>
      </c>
      <c r="I7" s="1832" t="s">
        <v>203</v>
      </c>
      <c r="J7" s="1832" t="s">
        <v>190</v>
      </c>
      <c r="K7" s="1832" t="s">
        <v>191</v>
      </c>
      <c r="L7" s="1835" t="s">
        <v>124</v>
      </c>
      <c r="M7" s="1835"/>
      <c r="N7" s="1835"/>
      <c r="O7" s="1835"/>
      <c r="P7" s="1835"/>
      <c r="Q7" s="1832" t="s">
        <v>125</v>
      </c>
      <c r="R7" s="1832" t="s">
        <v>192</v>
      </c>
      <c r="S7" s="1833" t="s">
        <v>126</v>
      </c>
      <c r="T7" s="1833"/>
      <c r="U7" s="1833"/>
      <c r="V7" s="1833"/>
      <c r="W7" s="1833"/>
      <c r="X7" s="1833"/>
      <c r="Y7" s="1832" t="s">
        <v>127</v>
      </c>
      <c r="Z7" s="1832" t="s">
        <v>140</v>
      </c>
      <c r="AA7" s="1832" t="s">
        <v>128</v>
      </c>
      <c r="AB7" s="1832" t="s">
        <v>58</v>
      </c>
      <c r="AC7" s="1832" t="s">
        <v>129</v>
      </c>
      <c r="AD7" s="1833"/>
      <c r="AE7" s="1833"/>
      <c r="AF7" s="1833"/>
    </row>
    <row r="8" spans="1:32" s="26" customFormat="1" ht="87" customHeight="1">
      <c r="A8" s="1836"/>
      <c r="B8" s="1832"/>
      <c r="C8" s="1832"/>
      <c r="D8" s="1832"/>
      <c r="E8" s="1832"/>
      <c r="F8" s="1832"/>
      <c r="G8" s="1832"/>
      <c r="H8" s="1834"/>
      <c r="I8" s="1832"/>
      <c r="J8" s="1832"/>
      <c r="K8" s="1832"/>
      <c r="L8" s="995" t="s">
        <v>123</v>
      </c>
      <c r="M8" s="995" t="s">
        <v>23</v>
      </c>
      <c r="N8" s="995" t="s">
        <v>24</v>
      </c>
      <c r="O8" s="995" t="s">
        <v>58</v>
      </c>
      <c r="P8" s="996" t="s">
        <v>204</v>
      </c>
      <c r="Q8" s="1832"/>
      <c r="R8" s="1832"/>
      <c r="S8" s="995" t="s">
        <v>25</v>
      </c>
      <c r="T8" s="995" t="s">
        <v>23</v>
      </c>
      <c r="U8" s="995" t="s">
        <v>130</v>
      </c>
      <c r="V8" s="996" t="s">
        <v>131</v>
      </c>
      <c r="W8" s="996" t="s">
        <v>132</v>
      </c>
      <c r="X8" s="996" t="s">
        <v>193</v>
      </c>
      <c r="Y8" s="1832"/>
      <c r="Z8" s="1832"/>
      <c r="AA8" s="1832"/>
      <c r="AB8" s="1832"/>
      <c r="AC8" s="1832"/>
      <c r="AD8" s="995" t="s">
        <v>26</v>
      </c>
      <c r="AE8" s="995" t="s">
        <v>27</v>
      </c>
      <c r="AF8" s="995" t="s">
        <v>28</v>
      </c>
    </row>
    <row r="9" spans="1:32" s="39" customFormat="1">
      <c r="A9" s="56" t="s">
        <v>1858</v>
      </c>
      <c r="B9" s="56">
        <v>2276</v>
      </c>
      <c r="C9" s="56">
        <v>11662</v>
      </c>
      <c r="D9" s="56">
        <v>74.989999999999995</v>
      </c>
      <c r="E9" s="57">
        <v>33</v>
      </c>
      <c r="F9" s="57">
        <v>10</v>
      </c>
      <c r="G9" s="58">
        <v>3</v>
      </c>
      <c r="H9" s="64">
        <v>46</v>
      </c>
      <c r="I9" s="59">
        <v>11</v>
      </c>
      <c r="J9" s="59">
        <v>3</v>
      </c>
      <c r="K9" s="59">
        <v>7</v>
      </c>
      <c r="L9" s="58">
        <v>8</v>
      </c>
      <c r="M9" s="58"/>
      <c r="N9" s="58"/>
      <c r="O9" s="58">
        <v>2</v>
      </c>
      <c r="P9" s="61">
        <v>10</v>
      </c>
      <c r="Q9" s="200">
        <v>0</v>
      </c>
      <c r="R9" s="59">
        <v>28</v>
      </c>
      <c r="S9" s="60">
        <v>23</v>
      </c>
      <c r="T9" s="58">
        <v>3</v>
      </c>
      <c r="U9" s="58"/>
      <c r="V9" s="58">
        <v>2</v>
      </c>
      <c r="W9" s="58">
        <v>2</v>
      </c>
      <c r="X9" s="61">
        <v>26</v>
      </c>
      <c r="Y9" s="200">
        <v>-2</v>
      </c>
      <c r="Z9" s="59"/>
      <c r="AA9" s="57"/>
      <c r="AB9" s="57"/>
      <c r="AC9" s="201">
        <v>0</v>
      </c>
      <c r="AD9" s="59"/>
      <c r="AE9" s="59"/>
      <c r="AF9" s="59"/>
    </row>
    <row r="10" spans="1:32" s="39" customFormat="1">
      <c r="A10" s="56" t="s">
        <v>1859</v>
      </c>
      <c r="B10" s="56"/>
      <c r="C10" s="56"/>
      <c r="D10" s="56" t="e">
        <v>#DIV/0!</v>
      </c>
      <c r="E10" s="57"/>
      <c r="F10" s="57"/>
      <c r="G10" s="57"/>
      <c r="H10" s="64">
        <v>0</v>
      </c>
      <c r="I10" s="59">
        <v>1</v>
      </c>
      <c r="J10" s="59"/>
      <c r="K10" s="59">
        <v>1</v>
      </c>
      <c r="L10" s="58">
        <v>1</v>
      </c>
      <c r="M10" s="58"/>
      <c r="N10" s="58"/>
      <c r="O10" s="58">
        <v>1</v>
      </c>
      <c r="P10" s="61">
        <v>2</v>
      </c>
      <c r="Q10" s="200">
        <v>-1</v>
      </c>
      <c r="R10" s="59">
        <v>2</v>
      </c>
      <c r="S10" s="60">
        <v>2</v>
      </c>
      <c r="T10" s="58"/>
      <c r="U10" s="58"/>
      <c r="V10" s="58"/>
      <c r="W10" s="58"/>
      <c r="X10" s="61">
        <v>2</v>
      </c>
      <c r="Y10" s="200">
        <v>0</v>
      </c>
      <c r="Z10" s="59"/>
      <c r="AA10" s="57"/>
      <c r="AB10" s="57"/>
      <c r="AC10" s="201">
        <v>0</v>
      </c>
      <c r="AD10" s="59"/>
      <c r="AE10" s="59"/>
      <c r="AF10" s="59"/>
    </row>
    <row r="11" spans="1:32" s="39" customFormat="1">
      <c r="A11" s="56" t="s">
        <v>1860</v>
      </c>
      <c r="B11" s="56">
        <v>1512</v>
      </c>
      <c r="C11" s="56">
        <v>8372</v>
      </c>
      <c r="D11" s="56">
        <v>79.09</v>
      </c>
      <c r="E11" s="57">
        <v>26</v>
      </c>
      <c r="F11" s="57">
        <v>2</v>
      </c>
      <c r="G11" s="57">
        <v>1</v>
      </c>
      <c r="H11" s="64">
        <v>29</v>
      </c>
      <c r="I11" s="59">
        <v>7</v>
      </c>
      <c r="J11" s="59">
        <v>1</v>
      </c>
      <c r="K11" s="59">
        <v>5</v>
      </c>
      <c r="L11" s="58">
        <v>5</v>
      </c>
      <c r="M11" s="58">
        <v>1</v>
      </c>
      <c r="N11" s="58"/>
      <c r="O11" s="58"/>
      <c r="P11" s="61">
        <v>7</v>
      </c>
      <c r="Q11" s="200">
        <v>-1</v>
      </c>
      <c r="R11" s="59">
        <v>31</v>
      </c>
      <c r="S11" s="60">
        <v>29</v>
      </c>
      <c r="T11" s="58">
        <v>2</v>
      </c>
      <c r="U11" s="58"/>
      <c r="V11" s="58">
        <v>5</v>
      </c>
      <c r="W11" s="58"/>
      <c r="X11" s="61">
        <v>25</v>
      </c>
      <c r="Y11" s="200">
        <v>0</v>
      </c>
      <c r="Z11" s="59"/>
      <c r="AA11" s="57"/>
      <c r="AB11" s="57"/>
      <c r="AC11" s="201">
        <v>0</v>
      </c>
      <c r="AD11" s="59"/>
      <c r="AE11" s="59"/>
      <c r="AF11" s="59"/>
    </row>
    <row r="12" spans="1:32" s="39" customFormat="1" ht="24">
      <c r="A12" s="56" t="s">
        <v>1772</v>
      </c>
      <c r="B12" s="56">
        <v>503</v>
      </c>
      <c r="C12" s="56">
        <v>3411</v>
      </c>
      <c r="D12" s="56">
        <v>116.82</v>
      </c>
      <c r="E12" s="57">
        <v>6</v>
      </c>
      <c r="F12" s="57">
        <v>1</v>
      </c>
      <c r="G12" s="57">
        <v>1</v>
      </c>
      <c r="H12" s="64">
        <v>8</v>
      </c>
      <c r="I12" s="59">
        <v>3</v>
      </c>
      <c r="J12" s="59"/>
      <c r="K12" s="59">
        <v>3</v>
      </c>
      <c r="L12" s="58">
        <v>2</v>
      </c>
      <c r="M12" s="58">
        <v>1</v>
      </c>
      <c r="N12" s="58"/>
      <c r="O12" s="58"/>
      <c r="P12" s="61">
        <v>3</v>
      </c>
      <c r="Q12" s="200">
        <v>0</v>
      </c>
      <c r="R12" s="59">
        <v>5</v>
      </c>
      <c r="S12" s="60">
        <v>4</v>
      </c>
      <c r="T12" s="58"/>
      <c r="U12" s="58"/>
      <c r="V12" s="58">
        <v>1</v>
      </c>
      <c r="W12" s="58"/>
      <c r="X12" s="61">
        <v>5</v>
      </c>
      <c r="Y12" s="200">
        <v>0</v>
      </c>
      <c r="Z12" s="59"/>
      <c r="AA12" s="57"/>
      <c r="AB12" s="57"/>
      <c r="AC12" s="201">
        <v>0</v>
      </c>
      <c r="AD12" s="59"/>
      <c r="AE12" s="59"/>
      <c r="AF12" s="59"/>
    </row>
    <row r="13" spans="1:32" s="39" customFormat="1">
      <c r="A13" s="56" t="s">
        <v>1771</v>
      </c>
      <c r="B13" s="56">
        <v>260</v>
      </c>
      <c r="C13" s="56">
        <v>1429</v>
      </c>
      <c r="D13" s="56">
        <v>78.3</v>
      </c>
      <c r="E13" s="57">
        <v>4</v>
      </c>
      <c r="F13" s="57">
        <v>1</v>
      </c>
      <c r="G13" s="57">
        <v>0</v>
      </c>
      <c r="H13" s="64">
        <v>5</v>
      </c>
      <c r="I13" s="59">
        <v>2</v>
      </c>
      <c r="J13" s="59">
        <v>1</v>
      </c>
      <c r="K13" s="59">
        <v>1</v>
      </c>
      <c r="L13" s="58">
        <v>1</v>
      </c>
      <c r="M13" s="58"/>
      <c r="N13" s="58"/>
      <c r="O13" s="58"/>
      <c r="P13" s="61">
        <v>1</v>
      </c>
      <c r="Q13" s="200">
        <v>1</v>
      </c>
      <c r="R13" s="59">
        <v>2</v>
      </c>
      <c r="S13" s="60">
        <v>4</v>
      </c>
      <c r="T13" s="58"/>
      <c r="U13" s="58"/>
      <c r="V13" s="58">
        <v>1</v>
      </c>
      <c r="W13" s="58"/>
      <c r="X13" s="61">
        <v>5</v>
      </c>
      <c r="Y13" s="200">
        <v>-3</v>
      </c>
      <c r="Z13" s="59"/>
      <c r="AA13" s="57"/>
      <c r="AB13" s="57"/>
      <c r="AC13" s="201">
        <v>0</v>
      </c>
      <c r="AD13" s="59"/>
      <c r="AE13" s="59"/>
      <c r="AF13" s="59"/>
    </row>
    <row r="14" spans="1:32" s="39" customFormat="1">
      <c r="A14" s="56" t="s">
        <v>1861</v>
      </c>
      <c r="B14" s="56">
        <v>521</v>
      </c>
      <c r="C14" s="56">
        <v>2912</v>
      </c>
      <c r="D14" s="56">
        <v>53.19</v>
      </c>
      <c r="E14" s="57">
        <v>12</v>
      </c>
      <c r="F14" s="57">
        <v>3</v>
      </c>
      <c r="G14" s="57">
        <v>0</v>
      </c>
      <c r="H14" s="64">
        <v>15</v>
      </c>
      <c r="I14" s="59">
        <v>7</v>
      </c>
      <c r="J14" s="59">
        <v>1</v>
      </c>
      <c r="K14" s="59">
        <v>5</v>
      </c>
      <c r="L14" s="58">
        <v>4</v>
      </c>
      <c r="M14" s="58">
        <v>1</v>
      </c>
      <c r="N14" s="58"/>
      <c r="O14" s="58"/>
      <c r="P14" s="61">
        <v>5</v>
      </c>
      <c r="Q14" s="200">
        <v>0</v>
      </c>
      <c r="R14" s="59">
        <v>9</v>
      </c>
      <c r="S14" s="60">
        <v>7</v>
      </c>
      <c r="T14" s="58"/>
      <c r="U14" s="58"/>
      <c r="V14" s="58">
        <v>2</v>
      </c>
      <c r="W14" s="58"/>
      <c r="X14" s="61">
        <v>9</v>
      </c>
      <c r="Y14" s="200">
        <v>1</v>
      </c>
      <c r="Z14" s="59"/>
      <c r="AA14" s="57"/>
      <c r="AB14" s="57"/>
      <c r="AC14" s="201">
        <v>0</v>
      </c>
      <c r="AD14" s="59"/>
      <c r="AE14" s="59"/>
      <c r="AF14" s="59"/>
    </row>
    <row r="15" spans="1:32" s="39" customFormat="1" ht="24">
      <c r="A15" s="56" t="s">
        <v>1862</v>
      </c>
      <c r="B15" s="56">
        <v>790</v>
      </c>
      <c r="C15" s="56">
        <v>5356</v>
      </c>
      <c r="D15" s="56">
        <v>45.86</v>
      </c>
      <c r="E15" s="57">
        <v>24</v>
      </c>
      <c r="F15" s="57">
        <v>6</v>
      </c>
      <c r="G15" s="57">
        <v>2</v>
      </c>
      <c r="H15" s="64">
        <v>32</v>
      </c>
      <c r="I15" s="59">
        <v>7</v>
      </c>
      <c r="J15" s="59">
        <v>2</v>
      </c>
      <c r="K15" s="59">
        <v>4</v>
      </c>
      <c r="L15" s="58">
        <v>4</v>
      </c>
      <c r="M15" s="58">
        <v>2</v>
      </c>
      <c r="N15" s="58"/>
      <c r="O15" s="58"/>
      <c r="P15" s="61">
        <v>6</v>
      </c>
      <c r="Q15" s="200">
        <v>1</v>
      </c>
      <c r="R15" s="59">
        <v>19</v>
      </c>
      <c r="S15" s="60">
        <v>10</v>
      </c>
      <c r="T15" s="58">
        <v>2</v>
      </c>
      <c r="U15" s="58"/>
      <c r="V15" s="58">
        <v>1</v>
      </c>
      <c r="W15" s="58"/>
      <c r="X15" s="61">
        <v>13</v>
      </c>
      <c r="Y15" s="200">
        <v>6</v>
      </c>
      <c r="Z15" s="59"/>
      <c r="AA15" s="57"/>
      <c r="AB15" s="57"/>
      <c r="AC15" s="201">
        <v>0</v>
      </c>
      <c r="AD15" s="59"/>
      <c r="AE15" s="59"/>
      <c r="AF15" s="59"/>
    </row>
    <row r="16" spans="1:32" s="39" customFormat="1">
      <c r="A16" s="56" t="s">
        <v>228</v>
      </c>
      <c r="B16" s="56"/>
      <c r="C16" s="56"/>
      <c r="D16" s="56" t="e">
        <v>#DIV/0!</v>
      </c>
      <c r="E16" s="57"/>
      <c r="F16" s="57"/>
      <c r="G16" s="57"/>
      <c r="H16" s="64">
        <v>0</v>
      </c>
      <c r="I16" s="59"/>
      <c r="J16" s="59"/>
      <c r="K16" s="59"/>
      <c r="L16" s="58">
        <v>1</v>
      </c>
      <c r="M16" s="58"/>
      <c r="N16" s="58"/>
      <c r="O16" s="58"/>
      <c r="P16" s="61">
        <v>1</v>
      </c>
      <c r="Q16" s="200">
        <v>-1</v>
      </c>
      <c r="R16" s="59"/>
      <c r="S16" s="60">
        <v>6</v>
      </c>
      <c r="T16" s="58"/>
      <c r="U16" s="58"/>
      <c r="V16" s="58"/>
      <c r="W16" s="58"/>
      <c r="X16" s="61">
        <v>6</v>
      </c>
      <c r="Y16" s="200">
        <v>-6</v>
      </c>
      <c r="Z16" s="59"/>
      <c r="AA16" s="57"/>
      <c r="AB16" s="57"/>
      <c r="AC16" s="201">
        <v>0</v>
      </c>
      <c r="AD16" s="59"/>
      <c r="AE16" s="59"/>
      <c r="AF16" s="59"/>
    </row>
    <row r="17" spans="1:32" s="39" customFormat="1">
      <c r="A17" s="56" t="s">
        <v>1863</v>
      </c>
      <c r="B17" s="56"/>
      <c r="C17" s="56"/>
      <c r="D17" s="56" t="e">
        <v>#DIV/0!</v>
      </c>
      <c r="E17" s="57"/>
      <c r="F17" s="57"/>
      <c r="G17" s="57"/>
      <c r="H17" s="64">
        <v>0</v>
      </c>
      <c r="I17" s="59">
        <v>2</v>
      </c>
      <c r="J17" s="59"/>
      <c r="K17" s="59">
        <v>2</v>
      </c>
      <c r="L17" s="58">
        <v>2</v>
      </c>
      <c r="M17" s="58"/>
      <c r="N17" s="58"/>
      <c r="O17" s="58"/>
      <c r="P17" s="61">
        <v>2</v>
      </c>
      <c r="Q17" s="200">
        <v>0</v>
      </c>
      <c r="R17" s="59">
        <v>2</v>
      </c>
      <c r="S17" s="60"/>
      <c r="T17" s="58"/>
      <c r="U17" s="58"/>
      <c r="V17" s="58">
        <v>2</v>
      </c>
      <c r="W17" s="58">
        <v>1</v>
      </c>
      <c r="X17" s="61">
        <v>2</v>
      </c>
      <c r="Y17" s="200">
        <v>2</v>
      </c>
      <c r="Z17" s="59"/>
      <c r="AA17" s="57"/>
      <c r="AB17" s="57"/>
      <c r="AC17" s="201">
        <v>0</v>
      </c>
      <c r="AD17" s="59"/>
      <c r="AE17" s="59"/>
      <c r="AF17" s="59"/>
    </row>
    <row r="18" spans="1:32" s="39" customFormat="1" ht="24">
      <c r="A18" s="56" t="s">
        <v>1864</v>
      </c>
      <c r="B18" s="56"/>
      <c r="C18" s="56"/>
      <c r="D18" s="56" t="e">
        <v>#DIV/0!</v>
      </c>
      <c r="E18" s="57"/>
      <c r="F18" s="57"/>
      <c r="G18" s="57"/>
      <c r="H18" s="64">
        <v>0</v>
      </c>
      <c r="I18" s="59">
        <v>3</v>
      </c>
      <c r="J18" s="59">
        <v>1</v>
      </c>
      <c r="K18" s="59">
        <v>2</v>
      </c>
      <c r="L18" s="58">
        <v>1</v>
      </c>
      <c r="M18" s="58"/>
      <c r="N18" s="58"/>
      <c r="O18" s="58">
        <v>1</v>
      </c>
      <c r="P18" s="61">
        <v>2</v>
      </c>
      <c r="Q18" s="200">
        <v>0</v>
      </c>
      <c r="R18" s="59">
        <v>2</v>
      </c>
      <c r="S18" s="60"/>
      <c r="T18" s="58"/>
      <c r="U18" s="58"/>
      <c r="V18" s="58">
        <v>2</v>
      </c>
      <c r="W18" s="58">
        <v>1</v>
      </c>
      <c r="X18" s="61">
        <v>2</v>
      </c>
      <c r="Y18" s="200">
        <v>1</v>
      </c>
      <c r="Z18" s="59">
        <v>2</v>
      </c>
      <c r="AA18" s="57">
        <v>3</v>
      </c>
      <c r="AB18" s="57"/>
      <c r="AC18" s="201">
        <v>-1</v>
      </c>
      <c r="AD18" s="59"/>
      <c r="AE18" s="59"/>
      <c r="AF18" s="59"/>
    </row>
    <row r="19" spans="1:32" s="39" customFormat="1">
      <c r="A19" s="56" t="s">
        <v>1865</v>
      </c>
      <c r="B19" s="56"/>
      <c r="C19" s="56"/>
      <c r="D19" s="56" t="e">
        <v>#DIV/0!</v>
      </c>
      <c r="E19" s="57"/>
      <c r="F19" s="57"/>
      <c r="G19" s="57"/>
      <c r="H19" s="64">
        <v>0</v>
      </c>
      <c r="I19" s="59">
        <v>2</v>
      </c>
      <c r="J19" s="59"/>
      <c r="K19" s="59">
        <v>2</v>
      </c>
      <c r="L19" s="58">
        <v>1</v>
      </c>
      <c r="M19" s="58"/>
      <c r="N19" s="58"/>
      <c r="O19" s="58">
        <v>1</v>
      </c>
      <c r="P19" s="61">
        <v>2</v>
      </c>
      <c r="Q19" s="200">
        <v>0</v>
      </c>
      <c r="R19" s="59">
        <v>2</v>
      </c>
      <c r="S19" s="60"/>
      <c r="T19" s="58"/>
      <c r="U19" s="58"/>
      <c r="V19" s="58">
        <v>1</v>
      </c>
      <c r="W19" s="58">
        <v>1</v>
      </c>
      <c r="X19" s="61">
        <v>2</v>
      </c>
      <c r="Y19" s="200">
        <v>0</v>
      </c>
      <c r="Z19" s="59"/>
      <c r="AA19" s="57"/>
      <c r="AB19" s="57"/>
      <c r="AC19" s="201">
        <v>0</v>
      </c>
      <c r="AD19" s="59"/>
      <c r="AE19" s="59"/>
      <c r="AF19" s="59"/>
    </row>
    <row r="20" spans="1:32" s="39" customFormat="1">
      <c r="A20" s="56" t="s">
        <v>1866</v>
      </c>
      <c r="B20" s="56"/>
      <c r="C20" s="56"/>
      <c r="D20" s="56" t="e">
        <v>#DIV/0!</v>
      </c>
      <c r="E20" s="57"/>
      <c r="F20" s="57"/>
      <c r="G20" s="57"/>
      <c r="H20" s="64">
        <v>0</v>
      </c>
      <c r="I20" s="59">
        <v>1</v>
      </c>
      <c r="J20" s="59"/>
      <c r="K20" s="59">
        <v>1</v>
      </c>
      <c r="L20" s="58">
        <v>1</v>
      </c>
      <c r="M20" s="58"/>
      <c r="N20" s="58"/>
      <c r="O20" s="58"/>
      <c r="P20" s="61">
        <v>1</v>
      </c>
      <c r="Q20" s="200">
        <v>0</v>
      </c>
      <c r="R20" s="59">
        <v>1</v>
      </c>
      <c r="S20" s="60"/>
      <c r="T20" s="58"/>
      <c r="U20" s="58"/>
      <c r="V20" s="58">
        <v>1</v>
      </c>
      <c r="W20" s="58">
        <v>1</v>
      </c>
      <c r="X20" s="61">
        <v>2</v>
      </c>
      <c r="Y20" s="200">
        <v>0</v>
      </c>
      <c r="Z20" s="59"/>
      <c r="AA20" s="57"/>
      <c r="AB20" s="57"/>
      <c r="AC20" s="201">
        <v>0</v>
      </c>
      <c r="AD20" s="59"/>
      <c r="AE20" s="59"/>
      <c r="AF20" s="59"/>
    </row>
    <row r="21" spans="1:32" s="39" customFormat="1">
      <c r="A21" s="56"/>
      <c r="B21" s="56"/>
      <c r="C21" s="56"/>
      <c r="D21" s="56" t="e">
        <v>#DIV/0!</v>
      </c>
      <c r="E21" s="57"/>
      <c r="F21" s="57"/>
      <c r="G21" s="57"/>
      <c r="H21" s="64">
        <v>0</v>
      </c>
      <c r="I21" s="59"/>
      <c r="J21" s="59"/>
      <c r="K21" s="59"/>
      <c r="L21" s="58"/>
      <c r="M21" s="58"/>
      <c r="N21" s="58"/>
      <c r="O21" s="58"/>
      <c r="P21" s="61">
        <v>0</v>
      </c>
      <c r="Q21" s="200">
        <v>0</v>
      </c>
      <c r="R21" s="59"/>
      <c r="S21" s="60"/>
      <c r="T21" s="58"/>
      <c r="U21" s="58"/>
      <c r="V21" s="58"/>
      <c r="W21" s="58"/>
      <c r="X21" s="61">
        <v>0</v>
      </c>
      <c r="Y21" s="200">
        <v>0</v>
      </c>
      <c r="Z21" s="59"/>
      <c r="AA21" s="57"/>
      <c r="AB21" s="57"/>
      <c r="AC21" s="201">
        <v>0</v>
      </c>
      <c r="AD21" s="59"/>
      <c r="AE21" s="59"/>
      <c r="AF21" s="59"/>
    </row>
    <row r="22" spans="1:32" s="39" customFormat="1">
      <c r="A22" s="56"/>
      <c r="B22" s="56"/>
      <c r="C22" s="56"/>
      <c r="D22" s="56" t="e">
        <v>#DIV/0!</v>
      </c>
      <c r="E22" s="57"/>
      <c r="F22" s="57"/>
      <c r="G22" s="57"/>
      <c r="H22" s="64">
        <v>0</v>
      </c>
      <c r="I22" s="59"/>
      <c r="J22" s="59"/>
      <c r="K22" s="59"/>
      <c r="L22" s="58"/>
      <c r="M22" s="58"/>
      <c r="N22" s="58"/>
      <c r="O22" s="58"/>
      <c r="P22" s="61">
        <v>0</v>
      </c>
      <c r="Q22" s="200">
        <v>0</v>
      </c>
      <c r="R22" s="59"/>
      <c r="S22" s="60"/>
      <c r="T22" s="58"/>
      <c r="U22" s="58"/>
      <c r="V22" s="58"/>
      <c r="W22" s="58"/>
      <c r="X22" s="61">
        <v>0</v>
      </c>
      <c r="Y22" s="200">
        <v>0</v>
      </c>
      <c r="Z22" s="59"/>
      <c r="AA22" s="57"/>
      <c r="AB22" s="57"/>
      <c r="AC22" s="201">
        <v>0</v>
      </c>
      <c r="AD22" s="59"/>
      <c r="AE22" s="59"/>
      <c r="AF22" s="59"/>
    </row>
    <row r="23" spans="1:32" s="39" customFormat="1">
      <c r="A23" s="56"/>
      <c r="B23" s="56"/>
      <c r="C23" s="56"/>
      <c r="D23" s="56" t="e">
        <v>#DIV/0!</v>
      </c>
      <c r="E23" s="57"/>
      <c r="F23" s="57"/>
      <c r="G23" s="57"/>
      <c r="H23" s="64">
        <v>0</v>
      </c>
      <c r="I23" s="59"/>
      <c r="J23" s="59"/>
      <c r="K23" s="59"/>
      <c r="L23" s="58"/>
      <c r="M23" s="58"/>
      <c r="N23" s="58"/>
      <c r="O23" s="58"/>
      <c r="P23" s="61">
        <v>0</v>
      </c>
      <c r="Q23" s="200">
        <v>0</v>
      </c>
      <c r="R23" s="59"/>
      <c r="S23" s="60"/>
      <c r="T23" s="58"/>
      <c r="U23" s="58"/>
      <c r="V23" s="58"/>
      <c r="W23" s="58"/>
      <c r="X23" s="61">
        <v>0</v>
      </c>
      <c r="Y23" s="200">
        <v>0</v>
      </c>
      <c r="Z23" s="59"/>
      <c r="AA23" s="57"/>
      <c r="AB23" s="57"/>
      <c r="AC23" s="201">
        <v>0</v>
      </c>
      <c r="AD23" s="59"/>
      <c r="AE23" s="59"/>
      <c r="AF23" s="59"/>
    </row>
    <row r="24" spans="1:32" s="39" customFormat="1">
      <c r="A24" s="56"/>
      <c r="B24" s="56"/>
      <c r="C24" s="56"/>
      <c r="D24" s="56" t="e">
        <v>#DIV/0!</v>
      </c>
      <c r="E24" s="57"/>
      <c r="F24" s="57"/>
      <c r="G24" s="57"/>
      <c r="H24" s="64">
        <v>0</v>
      </c>
      <c r="I24" s="59"/>
      <c r="J24" s="59"/>
      <c r="K24" s="59"/>
      <c r="L24" s="58"/>
      <c r="M24" s="58"/>
      <c r="N24" s="58"/>
      <c r="O24" s="58"/>
      <c r="P24" s="61">
        <v>0</v>
      </c>
      <c r="Q24" s="200">
        <v>0</v>
      </c>
      <c r="R24" s="59"/>
      <c r="S24" s="60"/>
      <c r="T24" s="58"/>
      <c r="U24" s="58"/>
      <c r="V24" s="58"/>
      <c r="W24" s="58"/>
      <c r="X24" s="61">
        <v>0</v>
      </c>
      <c r="Y24" s="200">
        <v>0</v>
      </c>
      <c r="Z24" s="59"/>
      <c r="AA24" s="57"/>
      <c r="AB24" s="57"/>
      <c r="AC24" s="201">
        <v>0</v>
      </c>
      <c r="AD24" s="59"/>
      <c r="AE24" s="59"/>
      <c r="AF24" s="59"/>
    </row>
    <row r="25" spans="1:32" ht="15.75" customHeight="1">
      <c r="A25" s="202"/>
      <c r="B25" s="64">
        <f>SUM(B9:B24)</f>
        <v>5862</v>
      </c>
      <c r="C25" s="64">
        <f>SUM(C9:C24)</f>
        <v>33142</v>
      </c>
      <c r="D25" s="64">
        <f>C25/H25/3.65</f>
        <v>67.259259259259267</v>
      </c>
      <c r="E25" s="64">
        <f>SUM(E9:E24)</f>
        <v>105</v>
      </c>
      <c r="F25" s="64">
        <f>SUM(F9:F24)</f>
        <v>23</v>
      </c>
      <c r="G25" s="64">
        <f>SUM(G9:G24)</f>
        <v>7</v>
      </c>
      <c r="H25" s="64">
        <f>SUM(E25:G25)</f>
        <v>135</v>
      </c>
      <c r="I25" s="64">
        <f t="shared" ref="I25:O25" si="0">SUM(I9:I24)</f>
        <v>46</v>
      </c>
      <c r="J25" s="64">
        <f t="shared" si="0"/>
        <v>9</v>
      </c>
      <c r="K25" s="64">
        <f t="shared" si="0"/>
        <v>33</v>
      </c>
      <c r="L25" s="64">
        <f t="shared" si="0"/>
        <v>31</v>
      </c>
      <c r="M25" s="64">
        <f t="shared" si="0"/>
        <v>5</v>
      </c>
      <c r="N25" s="64">
        <f t="shared" si="0"/>
        <v>0</v>
      </c>
      <c r="O25" s="64">
        <f t="shared" si="0"/>
        <v>5</v>
      </c>
      <c r="P25" s="61">
        <f>SUM(L25:O25)</f>
        <v>41</v>
      </c>
      <c r="Q25" s="203">
        <f>I25-P25</f>
        <v>5</v>
      </c>
      <c r="R25" s="64">
        <f t="shared" ref="R25:W25" si="1">SUM(R9:R24)</f>
        <v>103</v>
      </c>
      <c r="S25" s="64">
        <f t="shared" si="1"/>
        <v>85</v>
      </c>
      <c r="T25" s="64">
        <f t="shared" si="1"/>
        <v>7</v>
      </c>
      <c r="U25" s="64">
        <f t="shared" si="1"/>
        <v>0</v>
      </c>
      <c r="V25" s="64">
        <f t="shared" si="1"/>
        <v>18</v>
      </c>
      <c r="W25" s="64">
        <f t="shared" si="1"/>
        <v>6</v>
      </c>
      <c r="X25" s="61">
        <f>SUM(S25:W25)</f>
        <v>116</v>
      </c>
      <c r="Y25" s="203">
        <f>R25-X25</f>
        <v>-13</v>
      </c>
      <c r="Z25" s="64">
        <f>SUM(Z9:Z24)</f>
        <v>2</v>
      </c>
      <c r="AA25" s="64">
        <f>SUM(AA9:AA24)</f>
        <v>3</v>
      </c>
      <c r="AB25" s="64">
        <f>SUM(AB9:AB24)</f>
        <v>0</v>
      </c>
      <c r="AC25" s="204">
        <f>Z25-(AA25+AB25)</f>
        <v>-1</v>
      </c>
      <c r="AD25" s="64">
        <f>SUM(AD9:AD24)</f>
        <v>0</v>
      </c>
      <c r="AE25" s="64">
        <f>SUM(AE9:AE24)</f>
        <v>0</v>
      </c>
      <c r="AF25" s="64">
        <f>SUM(AF9:AF24)</f>
        <v>0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40"/>
      <c r="R26" s="18"/>
      <c r="S26" s="18"/>
      <c r="T26" s="40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40"/>
      <c r="R27" s="18"/>
      <c r="S27" s="18"/>
      <c r="T27" s="40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41"/>
      <c r="R28" s="22"/>
      <c r="S28" s="22"/>
      <c r="T28" s="41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41"/>
      <c r="R29" s="22"/>
      <c r="S29" s="22"/>
      <c r="T29" s="41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41"/>
      <c r="R30" s="22"/>
      <c r="S30" s="22"/>
      <c r="T30" s="41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41"/>
      <c r="R31" s="22"/>
      <c r="S31" s="22"/>
      <c r="T31" s="41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3">
    <mergeCell ref="Y7:Y8"/>
    <mergeCell ref="Z7:Z8"/>
    <mergeCell ref="A6:A8"/>
    <mergeCell ref="B6:B8"/>
    <mergeCell ref="C6:C8"/>
    <mergeCell ref="D6:D8"/>
    <mergeCell ref="E6:H6"/>
    <mergeCell ref="AA7:AA8"/>
    <mergeCell ref="AB7:AB8"/>
    <mergeCell ref="AC7:AC8"/>
    <mergeCell ref="AD6:AF7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I6:AC6"/>
    <mergeCell ref="R7:R8"/>
    <mergeCell ref="S7:X7"/>
  </mergeCells>
  <pageMargins left="0.23622047244094491" right="0.23622047244094491" top="0.35433070866141736" bottom="0.35433070866141736" header="0.31496062992125984" footer="0.31496062992125984"/>
  <pageSetup paperSize="9" scale="9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19"/>
  <sheetViews>
    <sheetView view="pageBreakPreview" zoomScaleSheetLayoutView="100" workbookViewId="0">
      <selection activeCell="O8" sqref="O8"/>
    </sheetView>
  </sheetViews>
  <sheetFormatPr defaultRowHeight="12.75"/>
  <cols>
    <col min="1" max="1" width="9.85546875" customWidth="1"/>
    <col min="2" max="2" width="27.28515625" customWidth="1"/>
    <col min="3" max="3" width="10.8554687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173"/>
      <c r="B1" s="174" t="s">
        <v>187</v>
      </c>
      <c r="C1" s="165" t="e">
        <f>#REF!</f>
        <v>#REF!</v>
      </c>
      <c r="D1" s="169"/>
      <c r="E1" s="169"/>
      <c r="F1" s="17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</row>
    <row r="2" spans="1:20">
      <c r="A2" s="173"/>
      <c r="B2" s="174" t="s">
        <v>188</v>
      </c>
      <c r="C2" s="165" t="e">
        <f>#REF!</f>
        <v>#REF!</v>
      </c>
      <c r="D2" s="169"/>
      <c r="E2" s="169"/>
      <c r="F2" s="171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</row>
    <row r="3" spans="1:20">
      <c r="A3" s="173"/>
      <c r="B3" s="174"/>
      <c r="C3" s="165"/>
      <c r="D3" s="169"/>
      <c r="E3" s="169"/>
      <c r="F3" s="171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</row>
    <row r="4" spans="1:20" ht="14.25">
      <c r="A4" s="173"/>
      <c r="B4" s="174" t="s">
        <v>1825</v>
      </c>
      <c r="C4" s="166" t="s">
        <v>138</v>
      </c>
      <c r="D4" s="170"/>
      <c r="E4" s="170"/>
      <c r="F4" s="172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8"/>
      <c r="T4" s="110"/>
    </row>
    <row r="5" spans="1:20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10"/>
      <c r="T5" s="110"/>
    </row>
    <row r="6" spans="1:20" ht="12.75" customHeight="1">
      <c r="A6" s="1866" t="s">
        <v>54</v>
      </c>
      <c r="B6" s="1866" t="s">
        <v>324</v>
      </c>
      <c r="C6" s="1912" t="s">
        <v>292</v>
      </c>
      <c r="D6" s="1913"/>
      <c r="E6" s="1913"/>
      <c r="F6" s="1913"/>
      <c r="G6" s="1913"/>
      <c r="H6" s="1913"/>
      <c r="I6" s="1913"/>
      <c r="J6" s="1913"/>
      <c r="K6" s="1912" t="s">
        <v>293</v>
      </c>
      <c r="L6" s="1913"/>
      <c r="M6" s="1913"/>
      <c r="N6" s="1913"/>
      <c r="O6" s="1913"/>
      <c r="P6" s="1913"/>
      <c r="Q6" s="1913"/>
      <c r="R6" s="1913"/>
      <c r="S6" s="1906" t="s">
        <v>294</v>
      </c>
      <c r="T6" s="1906" t="s">
        <v>243</v>
      </c>
    </row>
    <row r="7" spans="1:20" ht="18.75" customHeight="1" thickBot="1">
      <c r="A7" s="1867"/>
      <c r="B7" s="1867"/>
      <c r="C7" s="1909" t="s">
        <v>4078</v>
      </c>
      <c r="D7" s="1910"/>
      <c r="E7" s="1910"/>
      <c r="F7" s="1911"/>
      <c r="G7" s="1909" t="s">
        <v>4071</v>
      </c>
      <c r="H7" s="1910"/>
      <c r="I7" s="1910"/>
      <c r="J7" s="1911"/>
      <c r="K7" s="1909" t="s">
        <v>4078</v>
      </c>
      <c r="L7" s="1910"/>
      <c r="M7" s="1910"/>
      <c r="N7" s="1911"/>
      <c r="O7" s="1909" t="s">
        <v>4071</v>
      </c>
      <c r="P7" s="1910"/>
      <c r="Q7" s="1910"/>
      <c r="R7" s="1910"/>
      <c r="S7" s="1907"/>
      <c r="T7" s="1907"/>
    </row>
    <row r="8" spans="1:20" ht="24" thickTop="1" thickBot="1">
      <c r="A8" s="224"/>
      <c r="B8" s="146"/>
      <c r="C8" s="182" t="s">
        <v>87</v>
      </c>
      <c r="D8" s="182" t="s">
        <v>110</v>
      </c>
      <c r="E8" s="182" t="s">
        <v>109</v>
      </c>
      <c r="F8" s="182" t="s">
        <v>108</v>
      </c>
      <c r="G8" s="182" t="s">
        <v>87</v>
      </c>
      <c r="H8" s="182" t="s">
        <v>110</v>
      </c>
      <c r="I8" s="182" t="s">
        <v>109</v>
      </c>
      <c r="J8" s="182" t="s">
        <v>108</v>
      </c>
      <c r="K8" s="182" t="s">
        <v>87</v>
      </c>
      <c r="L8" s="182" t="s">
        <v>110</v>
      </c>
      <c r="M8" s="182" t="s">
        <v>109</v>
      </c>
      <c r="N8" s="182" t="s">
        <v>108</v>
      </c>
      <c r="O8" s="182" t="s">
        <v>87</v>
      </c>
      <c r="P8" s="182" t="s">
        <v>110</v>
      </c>
      <c r="Q8" s="182" t="s">
        <v>109</v>
      </c>
      <c r="R8" s="182" t="s">
        <v>108</v>
      </c>
      <c r="S8" s="1908"/>
      <c r="T8" s="1908"/>
    </row>
    <row r="9" spans="1:20" ht="13.5" customHeight="1" thickTop="1">
      <c r="A9" s="215" t="s">
        <v>174</v>
      </c>
      <c r="B9" s="21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85"/>
      <c r="S9" s="103"/>
      <c r="T9" s="225"/>
    </row>
    <row r="10" spans="1:20">
      <c r="A10" s="149" t="s">
        <v>175</v>
      </c>
      <c r="B10" s="149" t="s">
        <v>176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11"/>
      <c r="S10" s="100"/>
      <c r="T10" s="226"/>
    </row>
    <row r="11" spans="1:20" ht="25.5">
      <c r="A11" s="149" t="s">
        <v>175</v>
      </c>
      <c r="B11" s="149" t="s">
        <v>177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99"/>
      <c r="T11" s="226"/>
    </row>
    <row r="12" spans="1:20">
      <c r="A12" s="149" t="s">
        <v>178</v>
      </c>
      <c r="B12" s="149" t="s">
        <v>179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11"/>
      <c r="S12" s="100"/>
      <c r="T12" s="226"/>
    </row>
    <row r="13" spans="1:20">
      <c r="A13" s="148" t="s">
        <v>180</v>
      </c>
      <c r="B13" s="16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85"/>
      <c r="S13" s="103"/>
      <c r="T13" s="225"/>
    </row>
    <row r="14" spans="1:20" ht="38.25">
      <c r="A14" s="149" t="s">
        <v>181</v>
      </c>
      <c r="B14" s="149" t="s">
        <v>288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11"/>
      <c r="S14" s="100"/>
      <c r="T14" s="226"/>
    </row>
    <row r="15" spans="1:20" ht="25.5">
      <c r="A15" s="149" t="s">
        <v>181</v>
      </c>
      <c r="B15" s="149" t="s">
        <v>289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11"/>
      <c r="S15" s="100"/>
      <c r="T15" s="226"/>
    </row>
    <row r="16" spans="1:20" ht="51">
      <c r="A16" s="149" t="s">
        <v>182</v>
      </c>
      <c r="B16" s="149" t="s">
        <v>290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85"/>
      <c r="S16" s="103"/>
      <c r="T16" s="225"/>
    </row>
    <row r="17" spans="1:20">
      <c r="A17" s="150" t="s">
        <v>291</v>
      </c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147"/>
      <c r="T17" s="227"/>
    </row>
    <row r="18" spans="1:20">
      <c r="A18" s="154" t="s">
        <v>183</v>
      </c>
      <c r="B18" s="147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  <c r="S18" s="157"/>
      <c r="T18" s="228"/>
    </row>
    <row r="19" spans="1:20">
      <c r="A19" s="1904" t="s">
        <v>87</v>
      </c>
      <c r="B19" s="190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229"/>
      <c r="S19" s="230"/>
      <c r="T19" s="231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5" type="noConversion"/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73"/>
  <sheetViews>
    <sheetView view="pageBreakPreview" topLeftCell="A40" zoomScaleSheetLayoutView="100" workbookViewId="0">
      <selection activeCell="G47" sqref="G47:G73"/>
    </sheetView>
  </sheetViews>
  <sheetFormatPr defaultRowHeight="12.75"/>
  <cols>
    <col min="1" max="1" width="9" style="9" bestFit="1" customWidth="1"/>
    <col min="2" max="2" width="43.140625" style="9" customWidth="1"/>
    <col min="3" max="3" width="14.140625" style="9" customWidth="1"/>
    <col min="4" max="4" width="11.28515625" style="9" bestFit="1" customWidth="1"/>
    <col min="5" max="5" width="8.140625" style="9" customWidth="1"/>
    <col min="6" max="7" width="8" style="9" bestFit="1" customWidth="1"/>
    <col min="8" max="8" width="16.85546875" style="9" customWidth="1"/>
    <col min="9" max="11" width="8" style="9" bestFit="1" customWidth="1"/>
    <col min="12" max="13" width="8" style="10" bestFit="1" customWidth="1"/>
    <col min="14" max="15" width="8" style="9" bestFit="1" customWidth="1"/>
    <col min="16" max="17" width="8" style="10" bestFit="1" customWidth="1"/>
    <col min="18" max="16384" width="9.140625" style="10"/>
  </cols>
  <sheetData>
    <row r="1" spans="1:18" s="28" customFormat="1" ht="15.75">
      <c r="A1" s="173"/>
      <c r="B1" s="174" t="s">
        <v>187</v>
      </c>
      <c r="C1" s="165" t="e">
        <f>#REF!</f>
        <v>#REF!</v>
      </c>
      <c r="D1" s="169"/>
      <c r="E1" s="169"/>
      <c r="F1" s="169"/>
      <c r="G1" s="169"/>
      <c r="H1" s="171"/>
      <c r="P1" s="12"/>
      <c r="Q1" s="12"/>
      <c r="R1" s="30"/>
    </row>
    <row r="2" spans="1:18" s="28" customFormat="1" ht="15.75">
      <c r="A2" s="173"/>
      <c r="B2" s="174" t="s">
        <v>188</v>
      </c>
      <c r="C2" s="165" t="e">
        <f>#REF!</f>
        <v>#REF!</v>
      </c>
      <c r="D2" s="169"/>
      <c r="E2" s="169"/>
      <c r="F2" s="169"/>
      <c r="G2" s="169"/>
      <c r="H2" s="171"/>
      <c r="P2" s="12"/>
      <c r="Q2" s="12"/>
      <c r="R2" s="30"/>
    </row>
    <row r="3" spans="1:18" s="28" customFormat="1" ht="15.75">
      <c r="A3" s="173"/>
      <c r="B3" s="174"/>
      <c r="C3" s="165"/>
      <c r="D3" s="169"/>
      <c r="E3" s="169"/>
      <c r="F3" s="169"/>
      <c r="G3" s="169"/>
      <c r="H3" s="171"/>
      <c r="P3" s="12"/>
      <c r="Q3" s="12"/>
      <c r="R3" s="30"/>
    </row>
    <row r="4" spans="1:18" s="28" customFormat="1" ht="15.75">
      <c r="A4" s="173"/>
      <c r="B4" s="174" t="s">
        <v>1826</v>
      </c>
      <c r="C4" s="166" t="s">
        <v>287</v>
      </c>
      <c r="D4" s="170"/>
      <c r="E4" s="170"/>
      <c r="F4" s="170"/>
      <c r="G4" s="170"/>
      <c r="H4" s="172"/>
      <c r="P4" s="12"/>
      <c r="Q4" s="12"/>
    </row>
    <row r="5" spans="1:18" s="28" customFormat="1" ht="15.75">
      <c r="A5" s="31"/>
      <c r="B5" s="31"/>
      <c r="C5" s="31"/>
      <c r="D5" s="31"/>
      <c r="E5" s="31"/>
      <c r="F5" s="31"/>
      <c r="G5" s="31"/>
      <c r="H5" s="27"/>
      <c r="I5" s="27"/>
      <c r="J5" s="27"/>
      <c r="K5" s="27"/>
      <c r="N5" s="27"/>
      <c r="O5" s="27"/>
      <c r="P5" s="12"/>
      <c r="Q5" s="12"/>
    </row>
    <row r="6" spans="1:18" s="28" customFormat="1" ht="12.75" customHeight="1">
      <c r="A6" s="1918" t="s">
        <v>54</v>
      </c>
      <c r="B6" s="1919" t="s">
        <v>237</v>
      </c>
      <c r="C6" s="1919" t="s">
        <v>325</v>
      </c>
      <c r="D6" s="1917" t="s">
        <v>1845</v>
      </c>
      <c r="E6" s="1920" t="s">
        <v>87</v>
      </c>
      <c r="F6" s="1920"/>
      <c r="G6" s="1920"/>
      <c r="H6" s="1920"/>
    </row>
    <row r="7" spans="1:18" s="32" customFormat="1" ht="12.75" customHeight="1">
      <c r="A7" s="1918"/>
      <c r="B7" s="1919"/>
      <c r="C7" s="1919"/>
      <c r="D7" s="1917"/>
      <c r="E7" s="1919" t="s">
        <v>4078</v>
      </c>
      <c r="F7" s="1919"/>
      <c r="G7" s="1919" t="s">
        <v>4071</v>
      </c>
      <c r="H7" s="1919"/>
    </row>
    <row r="8" spans="1:18" s="32" customFormat="1" ht="22.5">
      <c r="A8" s="1918"/>
      <c r="B8" s="1919"/>
      <c r="C8" s="1919"/>
      <c r="D8" s="1917"/>
      <c r="E8" s="132" t="s">
        <v>15</v>
      </c>
      <c r="F8" s="132" t="s">
        <v>51</v>
      </c>
      <c r="G8" s="132" t="s">
        <v>15</v>
      </c>
      <c r="H8" s="132" t="s">
        <v>51</v>
      </c>
    </row>
    <row r="9" spans="1:18" s="32" customFormat="1" ht="51" customHeight="1">
      <c r="A9" s="232"/>
      <c r="B9" s="1914" t="s">
        <v>1847</v>
      </c>
      <c r="C9" s="1915"/>
      <c r="D9" s="1915"/>
      <c r="E9" s="1915"/>
      <c r="F9" s="1915"/>
      <c r="G9" s="1915"/>
      <c r="H9" s="1916"/>
    </row>
    <row r="10" spans="1:18" s="32" customFormat="1">
      <c r="A10" s="133" t="s">
        <v>1831</v>
      </c>
      <c r="B10" s="334" t="s">
        <v>259</v>
      </c>
      <c r="C10" s="133" t="s">
        <v>1846</v>
      </c>
      <c r="D10" s="134">
        <v>5889.37</v>
      </c>
      <c r="E10" s="921">
        <v>0</v>
      </c>
      <c r="F10" s="922">
        <f t="shared" ref="F10:F17" si="0">D10*E10</f>
        <v>0</v>
      </c>
      <c r="G10" s="1076">
        <v>0</v>
      </c>
      <c r="H10" s="114">
        <f t="shared" ref="H10:H16" si="1">D10*G10</f>
        <v>0</v>
      </c>
    </row>
    <row r="11" spans="1:18" s="32" customFormat="1">
      <c r="A11" s="133" t="s">
        <v>1832</v>
      </c>
      <c r="B11" s="334" t="s">
        <v>1833</v>
      </c>
      <c r="C11" s="133" t="s">
        <v>1846</v>
      </c>
      <c r="D11" s="134">
        <v>5889.37</v>
      </c>
      <c r="E11" s="921">
        <v>0</v>
      </c>
      <c r="F11" s="922">
        <f t="shared" si="0"/>
        <v>0</v>
      </c>
      <c r="G11" s="1076">
        <v>0</v>
      </c>
      <c r="H11" s="114">
        <f t="shared" si="1"/>
        <v>0</v>
      </c>
    </row>
    <row r="12" spans="1:18" s="32" customFormat="1">
      <c r="A12" s="133" t="s">
        <v>1834</v>
      </c>
      <c r="B12" s="334" t="s">
        <v>1835</v>
      </c>
      <c r="C12" s="133" t="s">
        <v>1846</v>
      </c>
      <c r="D12" s="134">
        <v>7067.24</v>
      </c>
      <c r="E12" s="921">
        <v>980</v>
      </c>
      <c r="F12" s="922">
        <f t="shared" si="0"/>
        <v>6925895.2000000002</v>
      </c>
      <c r="G12" s="1076">
        <v>1000</v>
      </c>
      <c r="H12" s="114">
        <f t="shared" si="1"/>
        <v>7067240</v>
      </c>
    </row>
    <row r="13" spans="1:18" s="32" customFormat="1">
      <c r="A13" s="133" t="s">
        <v>1836</v>
      </c>
      <c r="B13" s="334" t="s">
        <v>1837</v>
      </c>
      <c r="C13" s="133" t="s">
        <v>1846</v>
      </c>
      <c r="D13" s="134">
        <v>3121.37</v>
      </c>
      <c r="E13" s="921">
        <v>65</v>
      </c>
      <c r="F13" s="922">
        <f t="shared" si="0"/>
        <v>202889.05</v>
      </c>
      <c r="G13" s="1076">
        <v>50</v>
      </c>
      <c r="H13" s="114">
        <f t="shared" si="1"/>
        <v>156068.5</v>
      </c>
    </row>
    <row r="14" spans="1:18" s="32" customFormat="1">
      <c r="A14" s="133" t="s">
        <v>1838</v>
      </c>
      <c r="B14" s="334" t="s">
        <v>1839</v>
      </c>
      <c r="C14" s="133" t="s">
        <v>1846</v>
      </c>
      <c r="D14" s="134">
        <v>3710.3</v>
      </c>
      <c r="E14" s="921">
        <v>115</v>
      </c>
      <c r="F14" s="922">
        <f t="shared" si="0"/>
        <v>426684.5</v>
      </c>
      <c r="G14" s="1076">
        <v>150</v>
      </c>
      <c r="H14" s="114">
        <f t="shared" si="1"/>
        <v>556545</v>
      </c>
    </row>
    <row r="15" spans="1:18" s="32" customFormat="1">
      <c r="A15" s="133" t="s">
        <v>1840</v>
      </c>
      <c r="B15" s="334" t="s">
        <v>280</v>
      </c>
      <c r="C15" s="133" t="s">
        <v>1846</v>
      </c>
      <c r="D15" s="134">
        <v>2179.0700000000002</v>
      </c>
      <c r="E15" s="921">
        <v>2</v>
      </c>
      <c r="F15" s="922">
        <f t="shared" si="0"/>
        <v>4358.1400000000003</v>
      </c>
      <c r="G15" s="1076">
        <v>5</v>
      </c>
      <c r="H15" s="114">
        <f t="shared" si="1"/>
        <v>10895.35</v>
      </c>
    </row>
    <row r="16" spans="1:18" s="32" customFormat="1">
      <c r="A16" s="133" t="s">
        <v>1841</v>
      </c>
      <c r="B16" s="334" t="s">
        <v>1842</v>
      </c>
      <c r="C16" s="133" t="s">
        <v>1846</v>
      </c>
      <c r="D16" s="134">
        <v>1177.8699999999999</v>
      </c>
      <c r="E16" s="921">
        <v>0</v>
      </c>
      <c r="F16" s="922">
        <f t="shared" si="0"/>
        <v>0</v>
      </c>
      <c r="G16" s="1076">
        <v>0</v>
      </c>
      <c r="H16" s="114">
        <f t="shared" si="1"/>
        <v>0</v>
      </c>
    </row>
    <row r="17" spans="1:8" s="32" customFormat="1">
      <c r="A17" s="133" t="s">
        <v>1843</v>
      </c>
      <c r="B17" s="334" t="s">
        <v>1844</v>
      </c>
      <c r="C17" s="133" t="s">
        <v>1846</v>
      </c>
      <c r="D17" s="134">
        <v>1177.8699999999999</v>
      </c>
      <c r="E17" s="921">
        <v>0</v>
      </c>
      <c r="F17" s="922">
        <f t="shared" si="0"/>
        <v>0</v>
      </c>
      <c r="G17" s="1076">
        <v>0</v>
      </c>
      <c r="H17" s="114">
        <f t="shared" ref="H17:H45" si="2">D17*G17</f>
        <v>0</v>
      </c>
    </row>
    <row r="18" spans="1:8" s="32" customFormat="1" ht="51.75" customHeight="1">
      <c r="A18" s="232"/>
      <c r="B18" s="1914" t="s">
        <v>1848</v>
      </c>
      <c r="C18" s="1915"/>
      <c r="D18" s="1915"/>
      <c r="E18" s="1915"/>
      <c r="F18" s="1915"/>
      <c r="G18" s="1915"/>
      <c r="H18" s="1916"/>
    </row>
    <row r="19" spans="1:8" s="11" customFormat="1">
      <c r="A19" s="133">
        <v>540100</v>
      </c>
      <c r="B19" s="183" t="s">
        <v>259</v>
      </c>
      <c r="C19" s="133" t="s">
        <v>260</v>
      </c>
      <c r="D19" s="134">
        <v>11.2</v>
      </c>
      <c r="E19" s="922">
        <v>0</v>
      </c>
      <c r="F19" s="922">
        <f t="shared" ref="F19:F45" si="3">D19*E19</f>
        <v>0</v>
      </c>
      <c r="G19" s="1077">
        <v>0</v>
      </c>
      <c r="H19" s="114">
        <f t="shared" si="2"/>
        <v>0</v>
      </c>
    </row>
    <row r="20" spans="1:8" s="11" customFormat="1">
      <c r="A20" s="133">
        <v>540101</v>
      </c>
      <c r="B20" s="183" t="s">
        <v>261</v>
      </c>
      <c r="C20" s="133" t="s">
        <v>260</v>
      </c>
      <c r="D20" s="134">
        <v>13.72</v>
      </c>
      <c r="E20" s="922">
        <v>0</v>
      </c>
      <c r="F20" s="922">
        <f t="shared" si="3"/>
        <v>0</v>
      </c>
      <c r="G20" s="1077">
        <v>0</v>
      </c>
      <c r="H20" s="114">
        <f t="shared" si="2"/>
        <v>0</v>
      </c>
    </row>
    <row r="21" spans="1:8" s="11" customFormat="1">
      <c r="A21" s="133">
        <v>540102</v>
      </c>
      <c r="B21" s="183" t="s">
        <v>262</v>
      </c>
      <c r="C21" s="133" t="s">
        <v>260</v>
      </c>
      <c r="D21" s="134">
        <v>17.190000000000001</v>
      </c>
      <c r="E21" s="922">
        <v>0</v>
      </c>
      <c r="F21" s="922">
        <f t="shared" si="3"/>
        <v>0</v>
      </c>
      <c r="G21" s="1077">
        <v>0</v>
      </c>
      <c r="H21" s="114">
        <f t="shared" si="2"/>
        <v>0</v>
      </c>
    </row>
    <row r="22" spans="1:8" s="11" customFormat="1">
      <c r="A22" s="133">
        <v>540103</v>
      </c>
      <c r="B22" s="183" t="s">
        <v>263</v>
      </c>
      <c r="C22" s="133" t="s">
        <v>260</v>
      </c>
      <c r="D22" s="134">
        <v>14.17</v>
      </c>
      <c r="E22" s="922">
        <v>0</v>
      </c>
      <c r="F22" s="922">
        <f t="shared" si="3"/>
        <v>0</v>
      </c>
      <c r="G22" s="1077">
        <v>0</v>
      </c>
      <c r="H22" s="114">
        <f t="shared" si="2"/>
        <v>0</v>
      </c>
    </row>
    <row r="23" spans="1:8" s="11" customFormat="1">
      <c r="A23" s="133">
        <v>540104</v>
      </c>
      <c r="B23" s="183" t="s">
        <v>264</v>
      </c>
      <c r="C23" s="133" t="s">
        <v>260</v>
      </c>
      <c r="D23" s="134">
        <v>11.46</v>
      </c>
      <c r="E23" s="922">
        <v>0</v>
      </c>
      <c r="F23" s="922">
        <f t="shared" si="3"/>
        <v>0</v>
      </c>
      <c r="G23" s="1077">
        <v>0</v>
      </c>
      <c r="H23" s="114">
        <f t="shared" si="2"/>
        <v>0</v>
      </c>
    </row>
    <row r="24" spans="1:8" s="11" customFormat="1" ht="22.5">
      <c r="A24" s="133">
        <v>540105</v>
      </c>
      <c r="B24" s="183" t="s">
        <v>265</v>
      </c>
      <c r="C24" s="133" t="s">
        <v>260</v>
      </c>
      <c r="D24" s="134">
        <v>12.08</v>
      </c>
      <c r="E24" s="922">
        <v>0</v>
      </c>
      <c r="F24" s="922">
        <f t="shared" si="3"/>
        <v>0</v>
      </c>
      <c r="G24" s="1077">
        <v>0</v>
      </c>
      <c r="H24" s="114">
        <f t="shared" si="2"/>
        <v>0</v>
      </c>
    </row>
    <row r="25" spans="1:8" s="11" customFormat="1">
      <c r="A25" s="133">
        <v>560100</v>
      </c>
      <c r="B25" s="183" t="s">
        <v>266</v>
      </c>
      <c r="C25" s="133" t="s">
        <v>260</v>
      </c>
      <c r="D25" s="134">
        <v>11.2</v>
      </c>
      <c r="E25" s="922">
        <v>0</v>
      </c>
      <c r="F25" s="922">
        <f t="shared" si="3"/>
        <v>0</v>
      </c>
      <c r="G25" s="1077">
        <v>0</v>
      </c>
      <c r="H25" s="114">
        <f t="shared" si="2"/>
        <v>0</v>
      </c>
    </row>
    <row r="26" spans="1:8" s="11" customFormat="1">
      <c r="A26" s="133">
        <v>560101</v>
      </c>
      <c r="B26" s="183" t="s">
        <v>267</v>
      </c>
      <c r="C26" s="133" t="s">
        <v>260</v>
      </c>
      <c r="D26" s="134">
        <v>11.2</v>
      </c>
      <c r="E26" s="922">
        <v>0</v>
      </c>
      <c r="F26" s="922">
        <f t="shared" si="3"/>
        <v>0</v>
      </c>
      <c r="G26" s="1077">
        <v>0</v>
      </c>
      <c r="H26" s="114">
        <f t="shared" si="2"/>
        <v>0</v>
      </c>
    </row>
    <row r="27" spans="1:8" s="11" customFormat="1">
      <c r="A27" s="133">
        <v>560200</v>
      </c>
      <c r="B27" s="183" t="s">
        <v>268</v>
      </c>
      <c r="C27" s="133" t="s">
        <v>260</v>
      </c>
      <c r="D27" s="134">
        <v>17.27</v>
      </c>
      <c r="E27" s="922">
        <v>0</v>
      </c>
      <c r="F27" s="922">
        <f t="shared" si="3"/>
        <v>0</v>
      </c>
      <c r="G27" s="1077">
        <v>0</v>
      </c>
      <c r="H27" s="114">
        <f t="shared" si="2"/>
        <v>0</v>
      </c>
    </row>
    <row r="28" spans="1:8" s="11" customFormat="1">
      <c r="A28" s="133">
        <v>560800</v>
      </c>
      <c r="B28" s="183" t="s">
        <v>269</v>
      </c>
      <c r="C28" s="133" t="s">
        <v>260</v>
      </c>
      <c r="D28" s="134">
        <v>18.78</v>
      </c>
      <c r="E28" s="922">
        <v>0</v>
      </c>
      <c r="F28" s="922">
        <f t="shared" si="3"/>
        <v>0</v>
      </c>
      <c r="G28" s="1077">
        <v>0</v>
      </c>
      <c r="H28" s="114">
        <f t="shared" si="2"/>
        <v>0</v>
      </c>
    </row>
    <row r="29" spans="1:8" s="11" customFormat="1">
      <c r="A29" s="133">
        <v>560300</v>
      </c>
      <c r="B29" s="183" t="s">
        <v>270</v>
      </c>
      <c r="C29" s="133" t="s">
        <v>260</v>
      </c>
      <c r="D29" s="134">
        <v>12.08</v>
      </c>
      <c r="E29" s="922">
        <v>343000</v>
      </c>
      <c r="F29" s="922">
        <f t="shared" si="3"/>
        <v>4143440</v>
      </c>
      <c r="G29" s="1077">
        <v>350000</v>
      </c>
      <c r="H29" s="114">
        <f t="shared" si="2"/>
        <v>4228000</v>
      </c>
    </row>
    <row r="30" spans="1:8" s="11" customFormat="1">
      <c r="A30" s="133">
        <v>560102</v>
      </c>
      <c r="B30" s="183" t="s">
        <v>271</v>
      </c>
      <c r="C30" s="133" t="s">
        <v>260</v>
      </c>
      <c r="D30" s="134">
        <v>19.89</v>
      </c>
      <c r="E30" s="922">
        <v>0</v>
      </c>
      <c r="F30" s="922">
        <f t="shared" si="3"/>
        <v>0</v>
      </c>
      <c r="G30" s="1077">
        <v>0</v>
      </c>
      <c r="H30" s="114">
        <f t="shared" si="2"/>
        <v>0</v>
      </c>
    </row>
    <row r="31" spans="1:8" s="11" customFormat="1" ht="22.5">
      <c r="A31" s="133">
        <v>560301</v>
      </c>
      <c r="B31" s="183" t="s">
        <v>272</v>
      </c>
      <c r="C31" s="133" t="s">
        <v>260</v>
      </c>
      <c r="D31" s="134">
        <v>13.31</v>
      </c>
      <c r="E31" s="922">
        <v>0</v>
      </c>
      <c r="F31" s="922">
        <f t="shared" si="3"/>
        <v>0</v>
      </c>
      <c r="G31" s="1077">
        <v>0</v>
      </c>
      <c r="H31" s="114">
        <f t="shared" si="2"/>
        <v>0</v>
      </c>
    </row>
    <row r="32" spans="1:8" s="11" customFormat="1">
      <c r="A32" s="133">
        <v>510110</v>
      </c>
      <c r="B32" s="183" t="s">
        <v>273</v>
      </c>
      <c r="C32" s="133" t="s">
        <v>53</v>
      </c>
      <c r="D32" s="134">
        <v>760.94</v>
      </c>
      <c r="E32" s="922">
        <v>0</v>
      </c>
      <c r="F32" s="922">
        <f t="shared" si="3"/>
        <v>0</v>
      </c>
      <c r="G32" s="1077">
        <v>0</v>
      </c>
      <c r="H32" s="114">
        <f t="shared" si="2"/>
        <v>0</v>
      </c>
    </row>
    <row r="33" spans="1:8" s="11" customFormat="1" ht="53.25" customHeight="1">
      <c r="A33" s="133">
        <v>510200</v>
      </c>
      <c r="B33" s="183" t="s">
        <v>274</v>
      </c>
      <c r="C33" s="133" t="s">
        <v>260</v>
      </c>
      <c r="D33" s="134">
        <v>27.55</v>
      </c>
      <c r="E33" s="922">
        <v>3900</v>
      </c>
      <c r="F33" s="922">
        <f t="shared" si="3"/>
        <v>107445</v>
      </c>
      <c r="G33" s="1077">
        <v>3000</v>
      </c>
      <c r="H33" s="114" t="s">
        <v>3909</v>
      </c>
    </row>
    <row r="34" spans="1:8" s="11" customFormat="1">
      <c r="A34" s="133">
        <v>510299</v>
      </c>
      <c r="B34" s="183" t="s">
        <v>275</v>
      </c>
      <c r="C34" s="133" t="s">
        <v>260</v>
      </c>
      <c r="D34" s="134">
        <v>23.61</v>
      </c>
      <c r="E34" s="922">
        <v>0</v>
      </c>
      <c r="F34" s="922">
        <f t="shared" si="3"/>
        <v>0</v>
      </c>
      <c r="G34" s="1077">
        <v>0</v>
      </c>
      <c r="H34" s="114">
        <f t="shared" si="2"/>
        <v>0</v>
      </c>
    </row>
    <row r="35" spans="1:8" s="11" customFormat="1">
      <c r="A35" s="133">
        <v>510500</v>
      </c>
      <c r="B35" s="183" t="s">
        <v>276</v>
      </c>
      <c r="C35" s="133" t="s">
        <v>53</v>
      </c>
      <c r="D35" s="135">
        <v>2072.31</v>
      </c>
      <c r="E35" s="922">
        <v>0</v>
      </c>
      <c r="F35" s="922">
        <f t="shared" si="3"/>
        <v>0</v>
      </c>
      <c r="G35" s="1077">
        <v>0</v>
      </c>
      <c r="H35" s="114">
        <f t="shared" si="2"/>
        <v>0</v>
      </c>
    </row>
    <row r="36" spans="1:8" s="11" customFormat="1">
      <c r="A36" s="133">
        <v>520100</v>
      </c>
      <c r="B36" s="183" t="s">
        <v>277</v>
      </c>
      <c r="C36" s="133" t="s">
        <v>260</v>
      </c>
      <c r="D36" s="134">
        <v>10.66</v>
      </c>
      <c r="E36" s="922">
        <v>25300</v>
      </c>
      <c r="F36" s="922">
        <f t="shared" si="3"/>
        <v>269698</v>
      </c>
      <c r="G36" s="1077">
        <v>33000</v>
      </c>
      <c r="H36" s="114">
        <f t="shared" si="2"/>
        <v>351780</v>
      </c>
    </row>
    <row r="37" spans="1:8" s="11" customFormat="1">
      <c r="A37" s="133">
        <v>520101</v>
      </c>
      <c r="B37" s="183" t="s">
        <v>278</v>
      </c>
      <c r="C37" s="133" t="s">
        <v>260</v>
      </c>
      <c r="D37" s="134">
        <v>20.02</v>
      </c>
      <c r="E37" s="922">
        <v>0</v>
      </c>
      <c r="F37" s="922">
        <f t="shared" si="3"/>
        <v>0</v>
      </c>
      <c r="G37" s="1077">
        <v>0</v>
      </c>
      <c r="H37" s="114">
        <f t="shared" si="2"/>
        <v>0</v>
      </c>
    </row>
    <row r="38" spans="1:8" s="11" customFormat="1">
      <c r="A38" s="133">
        <v>520102</v>
      </c>
      <c r="B38" s="183" t="s">
        <v>279</v>
      </c>
      <c r="C38" s="133" t="s">
        <v>260</v>
      </c>
      <c r="D38" s="134">
        <v>17.690000000000001</v>
      </c>
      <c r="E38" s="922">
        <v>0</v>
      </c>
      <c r="F38" s="922">
        <f t="shared" si="3"/>
        <v>0</v>
      </c>
      <c r="G38" s="1077">
        <v>0</v>
      </c>
      <c r="H38" s="114">
        <f t="shared" si="2"/>
        <v>0</v>
      </c>
    </row>
    <row r="39" spans="1:8" s="11" customFormat="1">
      <c r="A39" s="133">
        <v>521000</v>
      </c>
      <c r="B39" s="183" t="s">
        <v>280</v>
      </c>
      <c r="C39" s="133" t="s">
        <v>53</v>
      </c>
      <c r="D39" s="135">
        <v>2950.57</v>
      </c>
      <c r="E39" s="922">
        <v>0</v>
      </c>
      <c r="F39" s="922">
        <f t="shared" si="3"/>
        <v>0</v>
      </c>
      <c r="G39" s="1077">
        <v>0</v>
      </c>
      <c r="H39" s="114">
        <f t="shared" si="2"/>
        <v>0</v>
      </c>
    </row>
    <row r="40" spans="1:8" s="11" customFormat="1">
      <c r="A40" s="133">
        <v>510000</v>
      </c>
      <c r="B40" s="183" t="s">
        <v>281</v>
      </c>
      <c r="C40" s="133" t="s">
        <v>53</v>
      </c>
      <c r="D40" s="135">
        <v>7928.48</v>
      </c>
      <c r="E40" s="922">
        <v>0</v>
      </c>
      <c r="F40" s="922">
        <f t="shared" si="3"/>
        <v>0</v>
      </c>
      <c r="G40" s="1077">
        <v>0</v>
      </c>
      <c r="H40" s="114">
        <f t="shared" si="2"/>
        <v>0</v>
      </c>
    </row>
    <row r="41" spans="1:8" s="11" customFormat="1">
      <c r="A41" s="133">
        <v>570100</v>
      </c>
      <c r="B41" s="183" t="s">
        <v>282</v>
      </c>
      <c r="C41" s="133" t="s">
        <v>53</v>
      </c>
      <c r="D41" s="135">
        <v>9018.85</v>
      </c>
      <c r="E41" s="922">
        <v>0</v>
      </c>
      <c r="F41" s="922">
        <f t="shared" si="3"/>
        <v>0</v>
      </c>
      <c r="G41" s="1077">
        <v>0</v>
      </c>
      <c r="H41" s="114">
        <f t="shared" si="2"/>
        <v>0</v>
      </c>
    </row>
    <row r="42" spans="1:8" s="11" customFormat="1">
      <c r="A42" s="133">
        <v>580100</v>
      </c>
      <c r="B42" s="183" t="s">
        <v>283</v>
      </c>
      <c r="C42" s="133" t="s">
        <v>260</v>
      </c>
      <c r="D42" s="134">
        <v>13.31</v>
      </c>
      <c r="E42" s="922">
        <v>0</v>
      </c>
      <c r="F42" s="922">
        <f t="shared" si="3"/>
        <v>0</v>
      </c>
      <c r="G42" s="1077">
        <v>0</v>
      </c>
      <c r="H42" s="114">
        <f t="shared" si="2"/>
        <v>0</v>
      </c>
    </row>
    <row r="43" spans="1:8" s="11" customFormat="1">
      <c r="A43" s="133">
        <v>580101</v>
      </c>
      <c r="B43" s="183" t="s">
        <v>284</v>
      </c>
      <c r="C43" s="133" t="s">
        <v>260</v>
      </c>
      <c r="D43" s="134">
        <v>10.23</v>
      </c>
      <c r="E43" s="922">
        <v>0</v>
      </c>
      <c r="F43" s="922">
        <f t="shared" si="3"/>
        <v>0</v>
      </c>
      <c r="G43" s="1077">
        <v>0</v>
      </c>
      <c r="H43" s="114">
        <f t="shared" si="2"/>
        <v>0</v>
      </c>
    </row>
    <row r="44" spans="1:8" s="11" customFormat="1">
      <c r="A44" s="133">
        <v>580102</v>
      </c>
      <c r="B44" s="183" t="s">
        <v>285</v>
      </c>
      <c r="C44" s="133" t="s">
        <v>260</v>
      </c>
      <c r="D44" s="134">
        <v>12.99</v>
      </c>
      <c r="E44" s="922">
        <v>0</v>
      </c>
      <c r="F44" s="922">
        <f t="shared" si="3"/>
        <v>0</v>
      </c>
      <c r="G44" s="1077">
        <v>0</v>
      </c>
      <c r="H44" s="114">
        <f t="shared" si="2"/>
        <v>0</v>
      </c>
    </row>
    <row r="45" spans="1:8" s="11" customFormat="1" ht="22.5">
      <c r="A45" s="133">
        <v>590100</v>
      </c>
      <c r="B45" s="183" t="s">
        <v>286</v>
      </c>
      <c r="C45" s="133" t="s">
        <v>260</v>
      </c>
      <c r="D45" s="134">
        <v>26.6</v>
      </c>
      <c r="E45" s="922">
        <v>0</v>
      </c>
      <c r="F45" s="922">
        <f t="shared" si="3"/>
        <v>0</v>
      </c>
      <c r="G45" s="1077">
        <v>0</v>
      </c>
      <c r="H45" s="114">
        <f t="shared" si="2"/>
        <v>0</v>
      </c>
    </row>
    <row r="46" spans="1:8" ht="48.75" customHeight="1">
      <c r="A46" s="232"/>
      <c r="B46" s="1914" t="s">
        <v>1849</v>
      </c>
      <c r="C46" s="1915"/>
      <c r="D46" s="1915"/>
      <c r="E46" s="1915"/>
      <c r="F46" s="1915"/>
      <c r="G46" s="1915"/>
      <c r="H46" s="1916"/>
    </row>
    <row r="47" spans="1:8">
      <c r="A47" s="133">
        <v>590101</v>
      </c>
      <c r="B47" s="183" t="s">
        <v>259</v>
      </c>
      <c r="C47" s="133" t="s">
        <v>260</v>
      </c>
      <c r="D47" s="134">
        <v>6.38</v>
      </c>
      <c r="E47" s="293">
        <v>0</v>
      </c>
      <c r="F47" s="114">
        <f t="shared" ref="F47:F73" si="4">D47*E47</f>
        <v>0</v>
      </c>
      <c r="G47" s="293">
        <v>0</v>
      </c>
      <c r="H47" s="114">
        <f t="shared" ref="H47:H73" si="5">D47*G47</f>
        <v>0</v>
      </c>
    </row>
    <row r="48" spans="1:8">
      <c r="A48" s="133">
        <v>590102</v>
      </c>
      <c r="B48" s="183" t="s">
        <v>261</v>
      </c>
      <c r="C48" s="133" t="s">
        <v>260</v>
      </c>
      <c r="D48" s="134">
        <v>7.82</v>
      </c>
      <c r="E48" s="293">
        <v>0</v>
      </c>
      <c r="F48" s="114">
        <f t="shared" si="4"/>
        <v>0</v>
      </c>
      <c r="G48" s="293">
        <v>0</v>
      </c>
      <c r="H48" s="114">
        <f t="shared" si="5"/>
        <v>0</v>
      </c>
    </row>
    <row r="49" spans="1:8">
      <c r="A49" s="133">
        <v>590103</v>
      </c>
      <c r="B49" s="183" t="s">
        <v>262</v>
      </c>
      <c r="C49" s="133" t="s">
        <v>260</v>
      </c>
      <c r="D49" s="134">
        <v>9.8000000000000007</v>
      </c>
      <c r="E49" s="293">
        <v>0</v>
      </c>
      <c r="F49" s="114">
        <f t="shared" si="4"/>
        <v>0</v>
      </c>
      <c r="G49" s="293">
        <v>0</v>
      </c>
      <c r="H49" s="114">
        <f t="shared" si="5"/>
        <v>0</v>
      </c>
    </row>
    <row r="50" spans="1:8">
      <c r="A50" s="133">
        <v>590104</v>
      </c>
      <c r="B50" s="183" t="s">
        <v>263</v>
      </c>
      <c r="C50" s="133" t="s">
        <v>260</v>
      </c>
      <c r="D50" s="134">
        <v>8.08</v>
      </c>
      <c r="E50" s="294">
        <v>0</v>
      </c>
      <c r="F50" s="114">
        <f t="shared" si="4"/>
        <v>0</v>
      </c>
      <c r="G50" s="293">
        <v>0</v>
      </c>
      <c r="H50" s="114">
        <f t="shared" si="5"/>
        <v>0</v>
      </c>
    </row>
    <row r="51" spans="1:8">
      <c r="A51" s="133">
        <v>590105</v>
      </c>
      <c r="B51" s="183" t="s">
        <v>264</v>
      </c>
      <c r="C51" s="133" t="s">
        <v>260</v>
      </c>
      <c r="D51" s="134">
        <v>6.53</v>
      </c>
      <c r="E51" s="294">
        <v>0</v>
      </c>
      <c r="F51" s="114">
        <f t="shared" si="4"/>
        <v>0</v>
      </c>
      <c r="G51" s="293">
        <v>0</v>
      </c>
      <c r="H51" s="114">
        <f t="shared" si="5"/>
        <v>0</v>
      </c>
    </row>
    <row r="52" spans="1:8" ht="22.5">
      <c r="A52" s="133">
        <v>590106</v>
      </c>
      <c r="B52" s="183" t="s">
        <v>265</v>
      </c>
      <c r="C52" s="133" t="s">
        <v>260</v>
      </c>
      <c r="D52" s="134">
        <v>6.88</v>
      </c>
      <c r="E52" s="294">
        <v>0</v>
      </c>
      <c r="F52" s="114">
        <f t="shared" si="4"/>
        <v>0</v>
      </c>
      <c r="G52" s="293">
        <v>0</v>
      </c>
      <c r="H52" s="114">
        <f t="shared" si="5"/>
        <v>0</v>
      </c>
    </row>
    <row r="53" spans="1:8">
      <c r="A53" s="133">
        <v>590107</v>
      </c>
      <c r="B53" s="183" t="s">
        <v>266</v>
      </c>
      <c r="C53" s="133" t="s">
        <v>260</v>
      </c>
      <c r="D53" s="134">
        <v>6.38</v>
      </c>
      <c r="E53" s="294">
        <v>0</v>
      </c>
      <c r="F53" s="114">
        <f t="shared" si="4"/>
        <v>0</v>
      </c>
      <c r="G53" s="293">
        <v>0</v>
      </c>
      <c r="H53" s="114">
        <f t="shared" si="5"/>
        <v>0</v>
      </c>
    </row>
    <row r="54" spans="1:8">
      <c r="A54" s="133">
        <v>590108</v>
      </c>
      <c r="B54" s="183" t="s">
        <v>267</v>
      </c>
      <c r="C54" s="133" t="s">
        <v>260</v>
      </c>
      <c r="D54" s="134">
        <v>6.38</v>
      </c>
      <c r="E54" s="294">
        <v>0</v>
      </c>
      <c r="F54" s="114">
        <f t="shared" si="4"/>
        <v>0</v>
      </c>
      <c r="G54" s="293">
        <v>0</v>
      </c>
      <c r="H54" s="114">
        <f t="shared" si="5"/>
        <v>0</v>
      </c>
    </row>
    <row r="55" spans="1:8">
      <c r="A55" s="133">
        <v>590109</v>
      </c>
      <c r="B55" s="183" t="s">
        <v>268</v>
      </c>
      <c r="C55" s="133" t="s">
        <v>260</v>
      </c>
      <c r="D55" s="134">
        <v>9.84</v>
      </c>
      <c r="E55" s="294">
        <v>0</v>
      </c>
      <c r="F55" s="114">
        <f t="shared" si="4"/>
        <v>0</v>
      </c>
      <c r="G55" s="293">
        <v>0</v>
      </c>
      <c r="H55" s="114">
        <f t="shared" si="5"/>
        <v>0</v>
      </c>
    </row>
    <row r="56" spans="1:8">
      <c r="A56" s="133">
        <v>590110</v>
      </c>
      <c r="B56" s="183" t="s">
        <v>269</v>
      </c>
      <c r="C56" s="133" t="s">
        <v>260</v>
      </c>
      <c r="D56" s="134">
        <v>10.7</v>
      </c>
      <c r="E56" s="294">
        <v>0</v>
      </c>
      <c r="F56" s="114">
        <f t="shared" si="4"/>
        <v>0</v>
      </c>
      <c r="G56" s="293">
        <v>0</v>
      </c>
      <c r="H56" s="114">
        <f t="shared" si="5"/>
        <v>0</v>
      </c>
    </row>
    <row r="57" spans="1:8">
      <c r="A57" s="133">
        <v>590111</v>
      </c>
      <c r="B57" s="183" t="s">
        <v>270</v>
      </c>
      <c r="C57" s="133" t="s">
        <v>260</v>
      </c>
      <c r="D57" s="134">
        <v>6.88</v>
      </c>
      <c r="E57" s="294">
        <v>0</v>
      </c>
      <c r="F57" s="114">
        <f t="shared" si="4"/>
        <v>0</v>
      </c>
      <c r="G57" s="293">
        <v>0</v>
      </c>
      <c r="H57" s="114">
        <f t="shared" si="5"/>
        <v>0</v>
      </c>
    </row>
    <row r="58" spans="1:8">
      <c r="A58" s="133">
        <v>590112</v>
      </c>
      <c r="B58" s="183" t="s">
        <v>271</v>
      </c>
      <c r="C58" s="133" t="s">
        <v>260</v>
      </c>
      <c r="D58" s="134">
        <v>11.34</v>
      </c>
      <c r="E58" s="294">
        <v>0</v>
      </c>
      <c r="F58" s="114">
        <f t="shared" si="4"/>
        <v>0</v>
      </c>
      <c r="G58" s="293">
        <v>0</v>
      </c>
      <c r="H58" s="114">
        <f t="shared" si="5"/>
        <v>0</v>
      </c>
    </row>
    <row r="59" spans="1:8" ht="22.5">
      <c r="A59" s="133">
        <v>590113</v>
      </c>
      <c r="B59" s="183" t="s">
        <v>272</v>
      </c>
      <c r="C59" s="133" t="s">
        <v>260</v>
      </c>
      <c r="D59" s="134">
        <v>7.59</v>
      </c>
      <c r="E59" s="294">
        <v>0</v>
      </c>
      <c r="F59" s="114">
        <f t="shared" si="4"/>
        <v>0</v>
      </c>
      <c r="G59" s="293">
        <v>0</v>
      </c>
      <c r="H59" s="114">
        <f t="shared" si="5"/>
        <v>0</v>
      </c>
    </row>
    <row r="60" spans="1:8">
      <c r="A60" s="133">
        <v>590114</v>
      </c>
      <c r="B60" s="183" t="s">
        <v>273</v>
      </c>
      <c r="C60" s="133" t="s">
        <v>53</v>
      </c>
      <c r="D60" s="134">
        <v>433.74</v>
      </c>
      <c r="E60" s="294">
        <v>0</v>
      </c>
      <c r="F60" s="114">
        <f t="shared" si="4"/>
        <v>0</v>
      </c>
      <c r="G60" s="293">
        <v>0</v>
      </c>
      <c r="H60" s="114">
        <f t="shared" si="5"/>
        <v>0</v>
      </c>
    </row>
    <row r="61" spans="1:8">
      <c r="A61" s="133">
        <v>590115</v>
      </c>
      <c r="B61" s="183" t="s">
        <v>274</v>
      </c>
      <c r="C61" s="133" t="s">
        <v>260</v>
      </c>
      <c r="D61" s="134">
        <v>15.71</v>
      </c>
      <c r="E61" s="294">
        <v>0</v>
      </c>
      <c r="F61" s="114">
        <f t="shared" si="4"/>
        <v>0</v>
      </c>
      <c r="G61" s="293">
        <v>0</v>
      </c>
      <c r="H61" s="114">
        <f t="shared" si="5"/>
        <v>0</v>
      </c>
    </row>
    <row r="62" spans="1:8">
      <c r="A62" s="133">
        <v>590116</v>
      </c>
      <c r="B62" s="183" t="s">
        <v>275</v>
      </c>
      <c r="C62" s="133" t="s">
        <v>260</v>
      </c>
      <c r="D62" s="134">
        <v>13.46</v>
      </c>
      <c r="E62" s="294">
        <v>0</v>
      </c>
      <c r="F62" s="114">
        <f t="shared" si="4"/>
        <v>0</v>
      </c>
      <c r="G62" s="293">
        <v>0</v>
      </c>
      <c r="H62" s="114">
        <f t="shared" si="5"/>
        <v>0</v>
      </c>
    </row>
    <row r="63" spans="1:8">
      <c r="A63" s="133">
        <v>590117</v>
      </c>
      <c r="B63" s="183" t="s">
        <v>276</v>
      </c>
      <c r="C63" s="133" t="s">
        <v>53</v>
      </c>
      <c r="D63" s="135">
        <v>1181.22</v>
      </c>
      <c r="E63" s="294">
        <v>0</v>
      </c>
      <c r="F63" s="114">
        <f t="shared" si="4"/>
        <v>0</v>
      </c>
      <c r="G63" s="293">
        <v>0</v>
      </c>
      <c r="H63" s="114">
        <f t="shared" si="5"/>
        <v>0</v>
      </c>
    </row>
    <row r="64" spans="1:8">
      <c r="A64" s="133">
        <v>590118</v>
      </c>
      <c r="B64" s="183" t="s">
        <v>277</v>
      </c>
      <c r="C64" s="133" t="s">
        <v>260</v>
      </c>
      <c r="D64" s="134">
        <v>6.07</v>
      </c>
      <c r="E64" s="294">
        <v>0</v>
      </c>
      <c r="F64" s="114">
        <f t="shared" si="4"/>
        <v>0</v>
      </c>
      <c r="G64" s="293">
        <v>0</v>
      </c>
      <c r="H64" s="114">
        <f t="shared" si="5"/>
        <v>0</v>
      </c>
    </row>
    <row r="65" spans="1:8">
      <c r="A65" s="133">
        <v>590119</v>
      </c>
      <c r="B65" s="183" t="s">
        <v>278</v>
      </c>
      <c r="C65" s="133" t="s">
        <v>260</v>
      </c>
      <c r="D65" s="134">
        <v>11.41</v>
      </c>
      <c r="E65" s="294">
        <v>0</v>
      </c>
      <c r="F65" s="114">
        <f t="shared" si="4"/>
        <v>0</v>
      </c>
      <c r="G65" s="293">
        <v>0</v>
      </c>
      <c r="H65" s="114">
        <f t="shared" si="5"/>
        <v>0</v>
      </c>
    </row>
    <row r="66" spans="1:8">
      <c r="A66" s="133">
        <v>590120</v>
      </c>
      <c r="B66" s="183" t="s">
        <v>279</v>
      </c>
      <c r="C66" s="133" t="s">
        <v>260</v>
      </c>
      <c r="D66" s="134">
        <v>10.08</v>
      </c>
      <c r="E66" s="294">
        <v>0</v>
      </c>
      <c r="F66" s="114">
        <f t="shared" si="4"/>
        <v>0</v>
      </c>
      <c r="G66" s="293">
        <v>0</v>
      </c>
      <c r="H66" s="114">
        <f t="shared" si="5"/>
        <v>0</v>
      </c>
    </row>
    <row r="67" spans="1:8">
      <c r="A67" s="133">
        <v>590121</v>
      </c>
      <c r="B67" s="183" t="s">
        <v>280</v>
      </c>
      <c r="C67" s="133" t="s">
        <v>53</v>
      </c>
      <c r="D67" s="134">
        <v>1681.83</v>
      </c>
      <c r="E67" s="294">
        <v>0</v>
      </c>
      <c r="F67" s="114">
        <f t="shared" si="4"/>
        <v>0</v>
      </c>
      <c r="G67" s="293">
        <v>0</v>
      </c>
      <c r="H67" s="114">
        <f t="shared" si="5"/>
        <v>0</v>
      </c>
    </row>
    <row r="68" spans="1:8">
      <c r="A68" s="133">
        <v>590122</v>
      </c>
      <c r="B68" s="183" t="s">
        <v>281</v>
      </c>
      <c r="C68" s="133" t="s">
        <v>53</v>
      </c>
      <c r="D68" s="134">
        <v>4519.2299999999996</v>
      </c>
      <c r="E68" s="294">
        <v>0</v>
      </c>
      <c r="F68" s="114">
        <f t="shared" si="4"/>
        <v>0</v>
      </c>
      <c r="G68" s="293">
        <v>0</v>
      </c>
      <c r="H68" s="114">
        <f t="shared" si="5"/>
        <v>0</v>
      </c>
    </row>
    <row r="69" spans="1:8">
      <c r="A69" s="133">
        <v>590123</v>
      </c>
      <c r="B69" s="183" t="s">
        <v>282</v>
      </c>
      <c r="C69" s="133" t="s">
        <v>53</v>
      </c>
      <c r="D69" s="135">
        <v>5140.75</v>
      </c>
      <c r="E69" s="294">
        <v>0</v>
      </c>
      <c r="F69" s="114">
        <f t="shared" si="4"/>
        <v>0</v>
      </c>
      <c r="G69" s="293">
        <v>0</v>
      </c>
      <c r="H69" s="114">
        <f t="shared" si="5"/>
        <v>0</v>
      </c>
    </row>
    <row r="70" spans="1:8">
      <c r="A70" s="133">
        <v>590124</v>
      </c>
      <c r="B70" s="183" t="s">
        <v>283</v>
      </c>
      <c r="C70" s="133" t="s">
        <v>260</v>
      </c>
      <c r="D70" s="134">
        <v>7.59</v>
      </c>
      <c r="E70" s="294">
        <v>0</v>
      </c>
      <c r="F70" s="114">
        <f t="shared" si="4"/>
        <v>0</v>
      </c>
      <c r="G70" s="293">
        <v>0</v>
      </c>
      <c r="H70" s="114">
        <f t="shared" si="5"/>
        <v>0</v>
      </c>
    </row>
    <row r="71" spans="1:8">
      <c r="A71" s="133">
        <v>590125</v>
      </c>
      <c r="B71" s="183" t="s">
        <v>284</v>
      </c>
      <c r="C71" s="133" t="s">
        <v>260</v>
      </c>
      <c r="D71" s="134">
        <v>5.83</v>
      </c>
      <c r="E71" s="294">
        <v>0</v>
      </c>
      <c r="F71" s="114">
        <f t="shared" si="4"/>
        <v>0</v>
      </c>
      <c r="G71" s="293">
        <v>0</v>
      </c>
      <c r="H71" s="114">
        <f t="shared" si="5"/>
        <v>0</v>
      </c>
    </row>
    <row r="72" spans="1:8">
      <c r="A72" s="133">
        <v>590126</v>
      </c>
      <c r="B72" s="183" t="s">
        <v>285</v>
      </c>
      <c r="C72" s="133" t="s">
        <v>260</v>
      </c>
      <c r="D72" s="134">
        <v>7.4</v>
      </c>
      <c r="E72" s="294">
        <v>0</v>
      </c>
      <c r="F72" s="114">
        <f t="shared" si="4"/>
        <v>0</v>
      </c>
      <c r="G72" s="293">
        <v>0</v>
      </c>
      <c r="H72" s="114">
        <f t="shared" si="5"/>
        <v>0</v>
      </c>
    </row>
    <row r="73" spans="1:8" ht="22.5">
      <c r="A73" s="133">
        <v>590127</v>
      </c>
      <c r="B73" s="183" t="s">
        <v>286</v>
      </c>
      <c r="C73" s="133" t="s">
        <v>260</v>
      </c>
      <c r="D73" s="134">
        <v>15.16</v>
      </c>
      <c r="E73" s="294">
        <v>0</v>
      </c>
      <c r="F73" s="114">
        <f t="shared" si="4"/>
        <v>0</v>
      </c>
      <c r="G73" s="293">
        <v>0</v>
      </c>
      <c r="H73" s="114">
        <f t="shared" si="5"/>
        <v>0</v>
      </c>
    </row>
  </sheetData>
  <mergeCells count="10"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5" type="noConversion"/>
  <pageMargins left="0.23622047244094491" right="0.23622047244094491" top="0.35433070866141736" bottom="0.35433070866141736" header="0.31496062992125984" footer="0.31496062992125984"/>
  <pageSetup paperSize="9" scale="8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49" zoomScaleSheetLayoutView="100" workbookViewId="0">
      <selection activeCell="K64" sqref="K64"/>
    </sheetView>
  </sheetViews>
  <sheetFormatPr defaultRowHeight="15.75"/>
  <cols>
    <col min="1" max="1" width="12.140625" style="1440" customWidth="1"/>
    <col min="2" max="2" width="16.85546875" style="1437" bestFit="1" customWidth="1"/>
    <col min="3" max="3" width="25.140625" style="1437" customWidth="1"/>
    <col min="4" max="4" width="19.140625" style="1437" bestFit="1" customWidth="1"/>
    <col min="5" max="5" width="12.7109375" style="1437" customWidth="1"/>
    <col min="6" max="6" width="15.140625" style="1437" bestFit="1" customWidth="1"/>
    <col min="7" max="7" width="11.7109375" style="1437" customWidth="1"/>
    <col min="8" max="8" width="16" style="1437" customWidth="1"/>
    <col min="9" max="9" width="8.85546875" style="1437" customWidth="1"/>
    <col min="10" max="10" width="10.140625" style="1440" customWidth="1"/>
    <col min="11" max="11" width="15.140625" style="1437" customWidth="1"/>
    <col min="12" max="12" width="19.42578125" style="1364" customWidth="1"/>
    <col min="13" max="256" width="9.140625" style="1437"/>
    <col min="257" max="257" width="12.140625" style="1437" customWidth="1"/>
    <col min="258" max="258" width="16.85546875" style="1437" bestFit="1" customWidth="1"/>
    <col min="259" max="259" width="25.140625" style="1437" customWidth="1"/>
    <col min="260" max="260" width="19.140625" style="1437" bestFit="1" customWidth="1"/>
    <col min="261" max="261" width="12.7109375" style="1437" customWidth="1"/>
    <col min="262" max="262" width="15.140625" style="1437" bestFit="1" customWidth="1"/>
    <col min="263" max="263" width="11.7109375" style="1437" customWidth="1"/>
    <col min="264" max="264" width="16" style="1437" customWidth="1"/>
    <col min="265" max="265" width="8.85546875" style="1437" customWidth="1"/>
    <col min="266" max="266" width="10.140625" style="1437" customWidth="1"/>
    <col min="267" max="267" width="15.140625" style="1437" customWidth="1"/>
    <col min="268" max="268" width="19.42578125" style="1437" customWidth="1"/>
    <col min="269" max="512" width="9.140625" style="1437"/>
    <col min="513" max="513" width="12.140625" style="1437" customWidth="1"/>
    <col min="514" max="514" width="16.85546875" style="1437" bestFit="1" customWidth="1"/>
    <col min="515" max="515" width="25.140625" style="1437" customWidth="1"/>
    <col min="516" max="516" width="19.140625" style="1437" bestFit="1" customWidth="1"/>
    <col min="517" max="517" width="12.7109375" style="1437" customWidth="1"/>
    <col min="518" max="518" width="15.140625" style="1437" bestFit="1" customWidth="1"/>
    <col min="519" max="519" width="11.7109375" style="1437" customWidth="1"/>
    <col min="520" max="520" width="16" style="1437" customWidth="1"/>
    <col min="521" max="521" width="8.85546875" style="1437" customWidth="1"/>
    <col min="522" max="522" width="10.140625" style="1437" customWidth="1"/>
    <col min="523" max="523" width="15.140625" style="1437" customWidth="1"/>
    <col min="524" max="524" width="19.42578125" style="1437" customWidth="1"/>
    <col min="525" max="768" width="9.140625" style="1437"/>
    <col min="769" max="769" width="12.140625" style="1437" customWidth="1"/>
    <col min="770" max="770" width="16.85546875" style="1437" bestFit="1" customWidth="1"/>
    <col min="771" max="771" width="25.140625" style="1437" customWidth="1"/>
    <col min="772" max="772" width="19.140625" style="1437" bestFit="1" customWidth="1"/>
    <col min="773" max="773" width="12.7109375" style="1437" customWidth="1"/>
    <col min="774" max="774" width="15.140625" style="1437" bestFit="1" customWidth="1"/>
    <col min="775" max="775" width="11.7109375" style="1437" customWidth="1"/>
    <col min="776" max="776" width="16" style="1437" customWidth="1"/>
    <col min="777" max="777" width="8.85546875" style="1437" customWidth="1"/>
    <col min="778" max="778" width="10.140625" style="1437" customWidth="1"/>
    <col min="779" max="779" width="15.140625" style="1437" customWidth="1"/>
    <col min="780" max="780" width="19.42578125" style="1437" customWidth="1"/>
    <col min="781" max="1024" width="9.140625" style="1437"/>
    <col min="1025" max="1025" width="12.140625" style="1437" customWidth="1"/>
    <col min="1026" max="1026" width="16.85546875" style="1437" bestFit="1" customWidth="1"/>
    <col min="1027" max="1027" width="25.140625" style="1437" customWidth="1"/>
    <col min="1028" max="1028" width="19.140625" style="1437" bestFit="1" customWidth="1"/>
    <col min="1029" max="1029" width="12.7109375" style="1437" customWidth="1"/>
    <col min="1030" max="1030" width="15.140625" style="1437" bestFit="1" customWidth="1"/>
    <col min="1031" max="1031" width="11.7109375" style="1437" customWidth="1"/>
    <col min="1032" max="1032" width="16" style="1437" customWidth="1"/>
    <col min="1033" max="1033" width="8.85546875" style="1437" customWidth="1"/>
    <col min="1034" max="1034" width="10.140625" style="1437" customWidth="1"/>
    <col min="1035" max="1035" width="15.140625" style="1437" customWidth="1"/>
    <col min="1036" max="1036" width="19.42578125" style="1437" customWidth="1"/>
    <col min="1037" max="1280" width="9.140625" style="1437"/>
    <col min="1281" max="1281" width="12.140625" style="1437" customWidth="1"/>
    <col min="1282" max="1282" width="16.85546875" style="1437" bestFit="1" customWidth="1"/>
    <col min="1283" max="1283" width="25.140625" style="1437" customWidth="1"/>
    <col min="1284" max="1284" width="19.140625" style="1437" bestFit="1" customWidth="1"/>
    <col min="1285" max="1285" width="12.7109375" style="1437" customWidth="1"/>
    <col min="1286" max="1286" width="15.140625" style="1437" bestFit="1" customWidth="1"/>
    <col min="1287" max="1287" width="11.7109375" style="1437" customWidth="1"/>
    <col min="1288" max="1288" width="16" style="1437" customWidth="1"/>
    <col min="1289" max="1289" width="8.85546875" style="1437" customWidth="1"/>
    <col min="1290" max="1290" width="10.140625" style="1437" customWidth="1"/>
    <col min="1291" max="1291" width="15.140625" style="1437" customWidth="1"/>
    <col min="1292" max="1292" width="19.42578125" style="1437" customWidth="1"/>
    <col min="1293" max="1536" width="9.140625" style="1437"/>
    <col min="1537" max="1537" width="12.140625" style="1437" customWidth="1"/>
    <col min="1538" max="1538" width="16.85546875" style="1437" bestFit="1" customWidth="1"/>
    <col min="1539" max="1539" width="25.140625" style="1437" customWidth="1"/>
    <col min="1540" max="1540" width="19.140625" style="1437" bestFit="1" customWidth="1"/>
    <col min="1541" max="1541" width="12.7109375" style="1437" customWidth="1"/>
    <col min="1542" max="1542" width="15.140625" style="1437" bestFit="1" customWidth="1"/>
    <col min="1543" max="1543" width="11.7109375" style="1437" customWidth="1"/>
    <col min="1544" max="1544" width="16" style="1437" customWidth="1"/>
    <col min="1545" max="1545" width="8.85546875" style="1437" customWidth="1"/>
    <col min="1546" max="1546" width="10.140625" style="1437" customWidth="1"/>
    <col min="1547" max="1547" width="15.140625" style="1437" customWidth="1"/>
    <col min="1548" max="1548" width="19.42578125" style="1437" customWidth="1"/>
    <col min="1549" max="1792" width="9.140625" style="1437"/>
    <col min="1793" max="1793" width="12.140625" style="1437" customWidth="1"/>
    <col min="1794" max="1794" width="16.85546875" style="1437" bestFit="1" customWidth="1"/>
    <col min="1795" max="1795" width="25.140625" style="1437" customWidth="1"/>
    <col min="1796" max="1796" width="19.140625" style="1437" bestFit="1" customWidth="1"/>
    <col min="1797" max="1797" width="12.7109375" style="1437" customWidth="1"/>
    <col min="1798" max="1798" width="15.140625" style="1437" bestFit="1" customWidth="1"/>
    <col min="1799" max="1799" width="11.7109375" style="1437" customWidth="1"/>
    <col min="1800" max="1800" width="16" style="1437" customWidth="1"/>
    <col min="1801" max="1801" width="8.85546875" style="1437" customWidth="1"/>
    <col min="1802" max="1802" width="10.140625" style="1437" customWidth="1"/>
    <col min="1803" max="1803" width="15.140625" style="1437" customWidth="1"/>
    <col min="1804" max="1804" width="19.42578125" style="1437" customWidth="1"/>
    <col min="1805" max="2048" width="9.140625" style="1437"/>
    <col min="2049" max="2049" width="12.140625" style="1437" customWidth="1"/>
    <col min="2050" max="2050" width="16.85546875" style="1437" bestFit="1" customWidth="1"/>
    <col min="2051" max="2051" width="25.140625" style="1437" customWidth="1"/>
    <col min="2052" max="2052" width="19.140625" style="1437" bestFit="1" customWidth="1"/>
    <col min="2053" max="2053" width="12.7109375" style="1437" customWidth="1"/>
    <col min="2054" max="2054" width="15.140625" style="1437" bestFit="1" customWidth="1"/>
    <col min="2055" max="2055" width="11.7109375" style="1437" customWidth="1"/>
    <col min="2056" max="2056" width="16" style="1437" customWidth="1"/>
    <col min="2057" max="2057" width="8.85546875" style="1437" customWidth="1"/>
    <col min="2058" max="2058" width="10.140625" style="1437" customWidth="1"/>
    <col min="2059" max="2059" width="15.140625" style="1437" customWidth="1"/>
    <col min="2060" max="2060" width="19.42578125" style="1437" customWidth="1"/>
    <col min="2061" max="2304" width="9.140625" style="1437"/>
    <col min="2305" max="2305" width="12.140625" style="1437" customWidth="1"/>
    <col min="2306" max="2306" width="16.85546875" style="1437" bestFit="1" customWidth="1"/>
    <col min="2307" max="2307" width="25.140625" style="1437" customWidth="1"/>
    <col min="2308" max="2308" width="19.140625" style="1437" bestFit="1" customWidth="1"/>
    <col min="2309" max="2309" width="12.7109375" style="1437" customWidth="1"/>
    <col min="2310" max="2310" width="15.140625" style="1437" bestFit="1" customWidth="1"/>
    <col min="2311" max="2311" width="11.7109375" style="1437" customWidth="1"/>
    <col min="2312" max="2312" width="16" style="1437" customWidth="1"/>
    <col min="2313" max="2313" width="8.85546875" style="1437" customWidth="1"/>
    <col min="2314" max="2314" width="10.140625" style="1437" customWidth="1"/>
    <col min="2315" max="2315" width="15.140625" style="1437" customWidth="1"/>
    <col min="2316" max="2316" width="19.42578125" style="1437" customWidth="1"/>
    <col min="2317" max="2560" width="9.140625" style="1437"/>
    <col min="2561" max="2561" width="12.140625" style="1437" customWidth="1"/>
    <col min="2562" max="2562" width="16.85546875" style="1437" bestFit="1" customWidth="1"/>
    <col min="2563" max="2563" width="25.140625" style="1437" customWidth="1"/>
    <col min="2564" max="2564" width="19.140625" style="1437" bestFit="1" customWidth="1"/>
    <col min="2565" max="2565" width="12.7109375" style="1437" customWidth="1"/>
    <col min="2566" max="2566" width="15.140625" style="1437" bestFit="1" customWidth="1"/>
    <col min="2567" max="2567" width="11.7109375" style="1437" customWidth="1"/>
    <col min="2568" max="2568" width="16" style="1437" customWidth="1"/>
    <col min="2569" max="2569" width="8.85546875" style="1437" customWidth="1"/>
    <col min="2570" max="2570" width="10.140625" style="1437" customWidth="1"/>
    <col min="2571" max="2571" width="15.140625" style="1437" customWidth="1"/>
    <col min="2572" max="2572" width="19.42578125" style="1437" customWidth="1"/>
    <col min="2573" max="2816" width="9.140625" style="1437"/>
    <col min="2817" max="2817" width="12.140625" style="1437" customWidth="1"/>
    <col min="2818" max="2818" width="16.85546875" style="1437" bestFit="1" customWidth="1"/>
    <col min="2819" max="2819" width="25.140625" style="1437" customWidth="1"/>
    <col min="2820" max="2820" width="19.140625" style="1437" bestFit="1" customWidth="1"/>
    <col min="2821" max="2821" width="12.7109375" style="1437" customWidth="1"/>
    <col min="2822" max="2822" width="15.140625" style="1437" bestFit="1" customWidth="1"/>
    <col min="2823" max="2823" width="11.7109375" style="1437" customWidth="1"/>
    <col min="2824" max="2824" width="16" style="1437" customWidth="1"/>
    <col min="2825" max="2825" width="8.85546875" style="1437" customWidth="1"/>
    <col min="2826" max="2826" width="10.140625" style="1437" customWidth="1"/>
    <col min="2827" max="2827" width="15.140625" style="1437" customWidth="1"/>
    <col min="2828" max="2828" width="19.42578125" style="1437" customWidth="1"/>
    <col min="2829" max="3072" width="9.140625" style="1437"/>
    <col min="3073" max="3073" width="12.140625" style="1437" customWidth="1"/>
    <col min="3074" max="3074" width="16.85546875" style="1437" bestFit="1" customWidth="1"/>
    <col min="3075" max="3075" width="25.140625" style="1437" customWidth="1"/>
    <col min="3076" max="3076" width="19.140625" style="1437" bestFit="1" customWidth="1"/>
    <col min="3077" max="3077" width="12.7109375" style="1437" customWidth="1"/>
    <col min="3078" max="3078" width="15.140625" style="1437" bestFit="1" customWidth="1"/>
    <col min="3079" max="3079" width="11.7109375" style="1437" customWidth="1"/>
    <col min="3080" max="3080" width="16" style="1437" customWidth="1"/>
    <col min="3081" max="3081" width="8.85546875" style="1437" customWidth="1"/>
    <col min="3082" max="3082" width="10.140625" style="1437" customWidth="1"/>
    <col min="3083" max="3083" width="15.140625" style="1437" customWidth="1"/>
    <col min="3084" max="3084" width="19.42578125" style="1437" customWidth="1"/>
    <col min="3085" max="3328" width="9.140625" style="1437"/>
    <col min="3329" max="3329" width="12.140625" style="1437" customWidth="1"/>
    <col min="3330" max="3330" width="16.85546875" style="1437" bestFit="1" customWidth="1"/>
    <col min="3331" max="3331" width="25.140625" style="1437" customWidth="1"/>
    <col min="3332" max="3332" width="19.140625" style="1437" bestFit="1" customWidth="1"/>
    <col min="3333" max="3333" width="12.7109375" style="1437" customWidth="1"/>
    <col min="3334" max="3334" width="15.140625" style="1437" bestFit="1" customWidth="1"/>
    <col min="3335" max="3335" width="11.7109375" style="1437" customWidth="1"/>
    <col min="3336" max="3336" width="16" style="1437" customWidth="1"/>
    <col min="3337" max="3337" width="8.85546875" style="1437" customWidth="1"/>
    <col min="3338" max="3338" width="10.140625" style="1437" customWidth="1"/>
    <col min="3339" max="3339" width="15.140625" style="1437" customWidth="1"/>
    <col min="3340" max="3340" width="19.42578125" style="1437" customWidth="1"/>
    <col min="3341" max="3584" width="9.140625" style="1437"/>
    <col min="3585" max="3585" width="12.140625" style="1437" customWidth="1"/>
    <col min="3586" max="3586" width="16.85546875" style="1437" bestFit="1" customWidth="1"/>
    <col min="3587" max="3587" width="25.140625" style="1437" customWidth="1"/>
    <col min="3588" max="3588" width="19.140625" style="1437" bestFit="1" customWidth="1"/>
    <col min="3589" max="3589" width="12.7109375" style="1437" customWidth="1"/>
    <col min="3590" max="3590" width="15.140625" style="1437" bestFit="1" customWidth="1"/>
    <col min="3591" max="3591" width="11.7109375" style="1437" customWidth="1"/>
    <col min="3592" max="3592" width="16" style="1437" customWidth="1"/>
    <col min="3593" max="3593" width="8.85546875" style="1437" customWidth="1"/>
    <col min="3594" max="3594" width="10.140625" style="1437" customWidth="1"/>
    <col min="3595" max="3595" width="15.140625" style="1437" customWidth="1"/>
    <col min="3596" max="3596" width="19.42578125" style="1437" customWidth="1"/>
    <col min="3597" max="3840" width="9.140625" style="1437"/>
    <col min="3841" max="3841" width="12.140625" style="1437" customWidth="1"/>
    <col min="3842" max="3842" width="16.85546875" style="1437" bestFit="1" customWidth="1"/>
    <col min="3843" max="3843" width="25.140625" style="1437" customWidth="1"/>
    <col min="3844" max="3844" width="19.140625" style="1437" bestFit="1" customWidth="1"/>
    <col min="3845" max="3845" width="12.7109375" style="1437" customWidth="1"/>
    <col min="3846" max="3846" width="15.140625" style="1437" bestFit="1" customWidth="1"/>
    <col min="3847" max="3847" width="11.7109375" style="1437" customWidth="1"/>
    <col min="3848" max="3848" width="16" style="1437" customWidth="1"/>
    <col min="3849" max="3849" width="8.85546875" style="1437" customWidth="1"/>
    <col min="3850" max="3850" width="10.140625" style="1437" customWidth="1"/>
    <col min="3851" max="3851" width="15.140625" style="1437" customWidth="1"/>
    <col min="3852" max="3852" width="19.42578125" style="1437" customWidth="1"/>
    <col min="3853" max="4096" width="9.140625" style="1437"/>
    <col min="4097" max="4097" width="12.140625" style="1437" customWidth="1"/>
    <col min="4098" max="4098" width="16.85546875" style="1437" bestFit="1" customWidth="1"/>
    <col min="4099" max="4099" width="25.140625" style="1437" customWidth="1"/>
    <col min="4100" max="4100" width="19.140625" style="1437" bestFit="1" customWidth="1"/>
    <col min="4101" max="4101" width="12.7109375" style="1437" customWidth="1"/>
    <col min="4102" max="4102" width="15.140625" style="1437" bestFit="1" customWidth="1"/>
    <col min="4103" max="4103" width="11.7109375" style="1437" customWidth="1"/>
    <col min="4104" max="4104" width="16" style="1437" customWidth="1"/>
    <col min="4105" max="4105" width="8.85546875" style="1437" customWidth="1"/>
    <col min="4106" max="4106" width="10.140625" style="1437" customWidth="1"/>
    <col min="4107" max="4107" width="15.140625" style="1437" customWidth="1"/>
    <col min="4108" max="4108" width="19.42578125" style="1437" customWidth="1"/>
    <col min="4109" max="4352" width="9.140625" style="1437"/>
    <col min="4353" max="4353" width="12.140625" style="1437" customWidth="1"/>
    <col min="4354" max="4354" width="16.85546875" style="1437" bestFit="1" customWidth="1"/>
    <col min="4355" max="4355" width="25.140625" style="1437" customWidth="1"/>
    <col min="4356" max="4356" width="19.140625" style="1437" bestFit="1" customWidth="1"/>
    <col min="4357" max="4357" width="12.7109375" style="1437" customWidth="1"/>
    <col min="4358" max="4358" width="15.140625" style="1437" bestFit="1" customWidth="1"/>
    <col min="4359" max="4359" width="11.7109375" style="1437" customWidth="1"/>
    <col min="4360" max="4360" width="16" style="1437" customWidth="1"/>
    <col min="4361" max="4361" width="8.85546875" style="1437" customWidth="1"/>
    <col min="4362" max="4362" width="10.140625" style="1437" customWidth="1"/>
    <col min="4363" max="4363" width="15.140625" style="1437" customWidth="1"/>
    <col min="4364" max="4364" width="19.42578125" style="1437" customWidth="1"/>
    <col min="4365" max="4608" width="9.140625" style="1437"/>
    <col min="4609" max="4609" width="12.140625" style="1437" customWidth="1"/>
    <col min="4610" max="4610" width="16.85546875" style="1437" bestFit="1" customWidth="1"/>
    <col min="4611" max="4611" width="25.140625" style="1437" customWidth="1"/>
    <col min="4612" max="4612" width="19.140625" style="1437" bestFit="1" customWidth="1"/>
    <col min="4613" max="4613" width="12.7109375" style="1437" customWidth="1"/>
    <col min="4614" max="4614" width="15.140625" style="1437" bestFit="1" customWidth="1"/>
    <col min="4615" max="4615" width="11.7109375" style="1437" customWidth="1"/>
    <col min="4616" max="4616" width="16" style="1437" customWidth="1"/>
    <col min="4617" max="4617" width="8.85546875" style="1437" customWidth="1"/>
    <col min="4618" max="4618" width="10.140625" style="1437" customWidth="1"/>
    <col min="4619" max="4619" width="15.140625" style="1437" customWidth="1"/>
    <col min="4620" max="4620" width="19.42578125" style="1437" customWidth="1"/>
    <col min="4621" max="4864" width="9.140625" style="1437"/>
    <col min="4865" max="4865" width="12.140625" style="1437" customWidth="1"/>
    <col min="4866" max="4866" width="16.85546875" style="1437" bestFit="1" customWidth="1"/>
    <col min="4867" max="4867" width="25.140625" style="1437" customWidth="1"/>
    <col min="4868" max="4868" width="19.140625" style="1437" bestFit="1" customWidth="1"/>
    <col min="4869" max="4869" width="12.7109375" style="1437" customWidth="1"/>
    <col min="4870" max="4870" width="15.140625" style="1437" bestFit="1" customWidth="1"/>
    <col min="4871" max="4871" width="11.7109375" style="1437" customWidth="1"/>
    <col min="4872" max="4872" width="16" style="1437" customWidth="1"/>
    <col min="4873" max="4873" width="8.85546875" style="1437" customWidth="1"/>
    <col min="4874" max="4874" width="10.140625" style="1437" customWidth="1"/>
    <col min="4875" max="4875" width="15.140625" style="1437" customWidth="1"/>
    <col min="4876" max="4876" width="19.42578125" style="1437" customWidth="1"/>
    <col min="4877" max="5120" width="9.140625" style="1437"/>
    <col min="5121" max="5121" width="12.140625" style="1437" customWidth="1"/>
    <col min="5122" max="5122" width="16.85546875" style="1437" bestFit="1" customWidth="1"/>
    <col min="5123" max="5123" width="25.140625" style="1437" customWidth="1"/>
    <col min="5124" max="5124" width="19.140625" style="1437" bestFit="1" customWidth="1"/>
    <col min="5125" max="5125" width="12.7109375" style="1437" customWidth="1"/>
    <col min="5126" max="5126" width="15.140625" style="1437" bestFit="1" customWidth="1"/>
    <col min="5127" max="5127" width="11.7109375" style="1437" customWidth="1"/>
    <col min="5128" max="5128" width="16" style="1437" customWidth="1"/>
    <col min="5129" max="5129" width="8.85546875" style="1437" customWidth="1"/>
    <col min="5130" max="5130" width="10.140625" style="1437" customWidth="1"/>
    <col min="5131" max="5131" width="15.140625" style="1437" customWidth="1"/>
    <col min="5132" max="5132" width="19.42578125" style="1437" customWidth="1"/>
    <col min="5133" max="5376" width="9.140625" style="1437"/>
    <col min="5377" max="5377" width="12.140625" style="1437" customWidth="1"/>
    <col min="5378" max="5378" width="16.85546875" style="1437" bestFit="1" customWidth="1"/>
    <col min="5379" max="5379" width="25.140625" style="1437" customWidth="1"/>
    <col min="5380" max="5380" width="19.140625" style="1437" bestFit="1" customWidth="1"/>
    <col min="5381" max="5381" width="12.7109375" style="1437" customWidth="1"/>
    <col min="5382" max="5382" width="15.140625" style="1437" bestFit="1" customWidth="1"/>
    <col min="5383" max="5383" width="11.7109375" style="1437" customWidth="1"/>
    <col min="5384" max="5384" width="16" style="1437" customWidth="1"/>
    <col min="5385" max="5385" width="8.85546875" style="1437" customWidth="1"/>
    <col min="5386" max="5386" width="10.140625" style="1437" customWidth="1"/>
    <col min="5387" max="5387" width="15.140625" style="1437" customWidth="1"/>
    <col min="5388" max="5388" width="19.42578125" style="1437" customWidth="1"/>
    <col min="5389" max="5632" width="9.140625" style="1437"/>
    <col min="5633" max="5633" width="12.140625" style="1437" customWidth="1"/>
    <col min="5634" max="5634" width="16.85546875" style="1437" bestFit="1" customWidth="1"/>
    <col min="5635" max="5635" width="25.140625" style="1437" customWidth="1"/>
    <col min="5636" max="5636" width="19.140625" style="1437" bestFit="1" customWidth="1"/>
    <col min="5637" max="5637" width="12.7109375" style="1437" customWidth="1"/>
    <col min="5638" max="5638" width="15.140625" style="1437" bestFit="1" customWidth="1"/>
    <col min="5639" max="5639" width="11.7109375" style="1437" customWidth="1"/>
    <col min="5640" max="5640" width="16" style="1437" customWidth="1"/>
    <col min="5641" max="5641" width="8.85546875" style="1437" customWidth="1"/>
    <col min="5642" max="5642" width="10.140625" style="1437" customWidth="1"/>
    <col min="5643" max="5643" width="15.140625" style="1437" customWidth="1"/>
    <col min="5644" max="5644" width="19.42578125" style="1437" customWidth="1"/>
    <col min="5645" max="5888" width="9.140625" style="1437"/>
    <col min="5889" max="5889" width="12.140625" style="1437" customWidth="1"/>
    <col min="5890" max="5890" width="16.85546875" style="1437" bestFit="1" customWidth="1"/>
    <col min="5891" max="5891" width="25.140625" style="1437" customWidth="1"/>
    <col min="5892" max="5892" width="19.140625" style="1437" bestFit="1" customWidth="1"/>
    <col min="5893" max="5893" width="12.7109375" style="1437" customWidth="1"/>
    <col min="5894" max="5894" width="15.140625" style="1437" bestFit="1" customWidth="1"/>
    <col min="5895" max="5895" width="11.7109375" style="1437" customWidth="1"/>
    <col min="5896" max="5896" width="16" style="1437" customWidth="1"/>
    <col min="5897" max="5897" width="8.85546875" style="1437" customWidth="1"/>
    <col min="5898" max="5898" width="10.140625" style="1437" customWidth="1"/>
    <col min="5899" max="5899" width="15.140625" style="1437" customWidth="1"/>
    <col min="5900" max="5900" width="19.42578125" style="1437" customWidth="1"/>
    <col min="5901" max="6144" width="9.140625" style="1437"/>
    <col min="6145" max="6145" width="12.140625" style="1437" customWidth="1"/>
    <col min="6146" max="6146" width="16.85546875" style="1437" bestFit="1" customWidth="1"/>
    <col min="6147" max="6147" width="25.140625" style="1437" customWidth="1"/>
    <col min="6148" max="6148" width="19.140625" style="1437" bestFit="1" customWidth="1"/>
    <col min="6149" max="6149" width="12.7109375" style="1437" customWidth="1"/>
    <col min="6150" max="6150" width="15.140625" style="1437" bestFit="1" customWidth="1"/>
    <col min="6151" max="6151" width="11.7109375" style="1437" customWidth="1"/>
    <col min="6152" max="6152" width="16" style="1437" customWidth="1"/>
    <col min="6153" max="6153" width="8.85546875" style="1437" customWidth="1"/>
    <col min="6154" max="6154" width="10.140625" style="1437" customWidth="1"/>
    <col min="6155" max="6155" width="15.140625" style="1437" customWidth="1"/>
    <col min="6156" max="6156" width="19.42578125" style="1437" customWidth="1"/>
    <col min="6157" max="6400" width="9.140625" style="1437"/>
    <col min="6401" max="6401" width="12.140625" style="1437" customWidth="1"/>
    <col min="6402" max="6402" width="16.85546875" style="1437" bestFit="1" customWidth="1"/>
    <col min="6403" max="6403" width="25.140625" style="1437" customWidth="1"/>
    <col min="6404" max="6404" width="19.140625" style="1437" bestFit="1" customWidth="1"/>
    <col min="6405" max="6405" width="12.7109375" style="1437" customWidth="1"/>
    <col min="6406" max="6406" width="15.140625" style="1437" bestFit="1" customWidth="1"/>
    <col min="6407" max="6407" width="11.7109375" style="1437" customWidth="1"/>
    <col min="6408" max="6408" width="16" style="1437" customWidth="1"/>
    <col min="6409" max="6409" width="8.85546875" style="1437" customWidth="1"/>
    <col min="6410" max="6410" width="10.140625" style="1437" customWidth="1"/>
    <col min="6411" max="6411" width="15.140625" style="1437" customWidth="1"/>
    <col min="6412" max="6412" width="19.42578125" style="1437" customWidth="1"/>
    <col min="6413" max="6656" width="9.140625" style="1437"/>
    <col min="6657" max="6657" width="12.140625" style="1437" customWidth="1"/>
    <col min="6658" max="6658" width="16.85546875" style="1437" bestFit="1" customWidth="1"/>
    <col min="6659" max="6659" width="25.140625" style="1437" customWidth="1"/>
    <col min="6660" max="6660" width="19.140625" style="1437" bestFit="1" customWidth="1"/>
    <col min="6661" max="6661" width="12.7109375" style="1437" customWidth="1"/>
    <col min="6662" max="6662" width="15.140625" style="1437" bestFit="1" customWidth="1"/>
    <col min="6663" max="6663" width="11.7109375" style="1437" customWidth="1"/>
    <col min="6664" max="6664" width="16" style="1437" customWidth="1"/>
    <col min="6665" max="6665" width="8.85546875" style="1437" customWidth="1"/>
    <col min="6666" max="6666" width="10.140625" style="1437" customWidth="1"/>
    <col min="6667" max="6667" width="15.140625" style="1437" customWidth="1"/>
    <col min="6668" max="6668" width="19.42578125" style="1437" customWidth="1"/>
    <col min="6669" max="6912" width="9.140625" style="1437"/>
    <col min="6913" max="6913" width="12.140625" style="1437" customWidth="1"/>
    <col min="6914" max="6914" width="16.85546875" style="1437" bestFit="1" customWidth="1"/>
    <col min="6915" max="6915" width="25.140625" style="1437" customWidth="1"/>
    <col min="6916" max="6916" width="19.140625" style="1437" bestFit="1" customWidth="1"/>
    <col min="6917" max="6917" width="12.7109375" style="1437" customWidth="1"/>
    <col min="6918" max="6918" width="15.140625" style="1437" bestFit="1" customWidth="1"/>
    <col min="6919" max="6919" width="11.7109375" style="1437" customWidth="1"/>
    <col min="6920" max="6920" width="16" style="1437" customWidth="1"/>
    <col min="6921" max="6921" width="8.85546875" style="1437" customWidth="1"/>
    <col min="6922" max="6922" width="10.140625" style="1437" customWidth="1"/>
    <col min="6923" max="6923" width="15.140625" style="1437" customWidth="1"/>
    <col min="6924" max="6924" width="19.42578125" style="1437" customWidth="1"/>
    <col min="6925" max="7168" width="9.140625" style="1437"/>
    <col min="7169" max="7169" width="12.140625" style="1437" customWidth="1"/>
    <col min="7170" max="7170" width="16.85546875" style="1437" bestFit="1" customWidth="1"/>
    <col min="7171" max="7171" width="25.140625" style="1437" customWidth="1"/>
    <col min="7172" max="7172" width="19.140625" style="1437" bestFit="1" customWidth="1"/>
    <col min="7173" max="7173" width="12.7109375" style="1437" customWidth="1"/>
    <col min="7174" max="7174" width="15.140625" style="1437" bestFit="1" customWidth="1"/>
    <col min="7175" max="7175" width="11.7109375" style="1437" customWidth="1"/>
    <col min="7176" max="7176" width="16" style="1437" customWidth="1"/>
    <col min="7177" max="7177" width="8.85546875" style="1437" customWidth="1"/>
    <col min="7178" max="7178" width="10.140625" style="1437" customWidth="1"/>
    <col min="7179" max="7179" width="15.140625" style="1437" customWidth="1"/>
    <col min="7180" max="7180" width="19.42578125" style="1437" customWidth="1"/>
    <col min="7181" max="7424" width="9.140625" style="1437"/>
    <col min="7425" max="7425" width="12.140625" style="1437" customWidth="1"/>
    <col min="7426" max="7426" width="16.85546875" style="1437" bestFit="1" customWidth="1"/>
    <col min="7427" max="7427" width="25.140625" style="1437" customWidth="1"/>
    <col min="7428" max="7428" width="19.140625" style="1437" bestFit="1" customWidth="1"/>
    <col min="7429" max="7429" width="12.7109375" style="1437" customWidth="1"/>
    <col min="7430" max="7430" width="15.140625" style="1437" bestFit="1" customWidth="1"/>
    <col min="7431" max="7431" width="11.7109375" style="1437" customWidth="1"/>
    <col min="7432" max="7432" width="16" style="1437" customWidth="1"/>
    <col min="7433" max="7433" width="8.85546875" style="1437" customWidth="1"/>
    <col min="7434" max="7434" width="10.140625" style="1437" customWidth="1"/>
    <col min="7435" max="7435" width="15.140625" style="1437" customWidth="1"/>
    <col min="7436" max="7436" width="19.42578125" style="1437" customWidth="1"/>
    <col min="7437" max="7680" width="9.140625" style="1437"/>
    <col min="7681" max="7681" width="12.140625" style="1437" customWidth="1"/>
    <col min="7682" max="7682" width="16.85546875" style="1437" bestFit="1" customWidth="1"/>
    <col min="7683" max="7683" width="25.140625" style="1437" customWidth="1"/>
    <col min="7684" max="7684" width="19.140625" style="1437" bestFit="1" customWidth="1"/>
    <col min="7685" max="7685" width="12.7109375" style="1437" customWidth="1"/>
    <col min="7686" max="7686" width="15.140625" style="1437" bestFit="1" customWidth="1"/>
    <col min="7687" max="7687" width="11.7109375" style="1437" customWidth="1"/>
    <col min="7688" max="7688" width="16" style="1437" customWidth="1"/>
    <col min="7689" max="7689" width="8.85546875" style="1437" customWidth="1"/>
    <col min="7690" max="7690" width="10.140625" style="1437" customWidth="1"/>
    <col min="7691" max="7691" width="15.140625" style="1437" customWidth="1"/>
    <col min="7692" max="7692" width="19.42578125" style="1437" customWidth="1"/>
    <col min="7693" max="7936" width="9.140625" style="1437"/>
    <col min="7937" max="7937" width="12.140625" style="1437" customWidth="1"/>
    <col min="7938" max="7938" width="16.85546875" style="1437" bestFit="1" customWidth="1"/>
    <col min="7939" max="7939" width="25.140625" style="1437" customWidth="1"/>
    <col min="7940" max="7940" width="19.140625" style="1437" bestFit="1" customWidth="1"/>
    <col min="7941" max="7941" width="12.7109375" style="1437" customWidth="1"/>
    <col min="7942" max="7942" width="15.140625" style="1437" bestFit="1" customWidth="1"/>
    <col min="7943" max="7943" width="11.7109375" style="1437" customWidth="1"/>
    <col min="7944" max="7944" width="16" style="1437" customWidth="1"/>
    <col min="7945" max="7945" width="8.85546875" style="1437" customWidth="1"/>
    <col min="7946" max="7946" width="10.140625" style="1437" customWidth="1"/>
    <col min="7947" max="7947" width="15.140625" style="1437" customWidth="1"/>
    <col min="7948" max="7948" width="19.42578125" style="1437" customWidth="1"/>
    <col min="7949" max="8192" width="9.140625" style="1437"/>
    <col min="8193" max="8193" width="12.140625" style="1437" customWidth="1"/>
    <col min="8194" max="8194" width="16.85546875" style="1437" bestFit="1" customWidth="1"/>
    <col min="8195" max="8195" width="25.140625" style="1437" customWidth="1"/>
    <col min="8196" max="8196" width="19.140625" style="1437" bestFit="1" customWidth="1"/>
    <col min="8197" max="8197" width="12.7109375" style="1437" customWidth="1"/>
    <col min="8198" max="8198" width="15.140625" style="1437" bestFit="1" customWidth="1"/>
    <col min="8199" max="8199" width="11.7109375" style="1437" customWidth="1"/>
    <col min="8200" max="8200" width="16" style="1437" customWidth="1"/>
    <col min="8201" max="8201" width="8.85546875" style="1437" customWidth="1"/>
    <col min="8202" max="8202" width="10.140625" style="1437" customWidth="1"/>
    <col min="8203" max="8203" width="15.140625" style="1437" customWidth="1"/>
    <col min="8204" max="8204" width="19.42578125" style="1437" customWidth="1"/>
    <col min="8205" max="8448" width="9.140625" style="1437"/>
    <col min="8449" max="8449" width="12.140625" style="1437" customWidth="1"/>
    <col min="8450" max="8450" width="16.85546875" style="1437" bestFit="1" customWidth="1"/>
    <col min="8451" max="8451" width="25.140625" style="1437" customWidth="1"/>
    <col min="8452" max="8452" width="19.140625" style="1437" bestFit="1" customWidth="1"/>
    <col min="8453" max="8453" width="12.7109375" style="1437" customWidth="1"/>
    <col min="8454" max="8454" width="15.140625" style="1437" bestFit="1" customWidth="1"/>
    <col min="8455" max="8455" width="11.7109375" style="1437" customWidth="1"/>
    <col min="8456" max="8456" width="16" style="1437" customWidth="1"/>
    <col min="8457" max="8457" width="8.85546875" style="1437" customWidth="1"/>
    <col min="8458" max="8458" width="10.140625" style="1437" customWidth="1"/>
    <col min="8459" max="8459" width="15.140625" style="1437" customWidth="1"/>
    <col min="8460" max="8460" width="19.42578125" style="1437" customWidth="1"/>
    <col min="8461" max="8704" width="9.140625" style="1437"/>
    <col min="8705" max="8705" width="12.140625" style="1437" customWidth="1"/>
    <col min="8706" max="8706" width="16.85546875" style="1437" bestFit="1" customWidth="1"/>
    <col min="8707" max="8707" width="25.140625" style="1437" customWidth="1"/>
    <col min="8708" max="8708" width="19.140625" style="1437" bestFit="1" customWidth="1"/>
    <col min="8709" max="8709" width="12.7109375" style="1437" customWidth="1"/>
    <col min="8710" max="8710" width="15.140625" style="1437" bestFit="1" customWidth="1"/>
    <col min="8711" max="8711" width="11.7109375" style="1437" customWidth="1"/>
    <col min="8712" max="8712" width="16" style="1437" customWidth="1"/>
    <col min="8713" max="8713" width="8.85546875" style="1437" customWidth="1"/>
    <col min="8714" max="8714" width="10.140625" style="1437" customWidth="1"/>
    <col min="8715" max="8715" width="15.140625" style="1437" customWidth="1"/>
    <col min="8716" max="8716" width="19.42578125" style="1437" customWidth="1"/>
    <col min="8717" max="8960" width="9.140625" style="1437"/>
    <col min="8961" max="8961" width="12.140625" style="1437" customWidth="1"/>
    <col min="8962" max="8962" width="16.85546875" style="1437" bestFit="1" customWidth="1"/>
    <col min="8963" max="8963" width="25.140625" style="1437" customWidth="1"/>
    <col min="8964" max="8964" width="19.140625" style="1437" bestFit="1" customWidth="1"/>
    <col min="8965" max="8965" width="12.7109375" style="1437" customWidth="1"/>
    <col min="8966" max="8966" width="15.140625" style="1437" bestFit="1" customWidth="1"/>
    <col min="8967" max="8967" width="11.7109375" style="1437" customWidth="1"/>
    <col min="8968" max="8968" width="16" style="1437" customWidth="1"/>
    <col min="8969" max="8969" width="8.85546875" style="1437" customWidth="1"/>
    <col min="8970" max="8970" width="10.140625" style="1437" customWidth="1"/>
    <col min="8971" max="8971" width="15.140625" style="1437" customWidth="1"/>
    <col min="8972" max="8972" width="19.42578125" style="1437" customWidth="1"/>
    <col min="8973" max="9216" width="9.140625" style="1437"/>
    <col min="9217" max="9217" width="12.140625" style="1437" customWidth="1"/>
    <col min="9218" max="9218" width="16.85546875" style="1437" bestFit="1" customWidth="1"/>
    <col min="9219" max="9219" width="25.140625" style="1437" customWidth="1"/>
    <col min="9220" max="9220" width="19.140625" style="1437" bestFit="1" customWidth="1"/>
    <col min="9221" max="9221" width="12.7109375" style="1437" customWidth="1"/>
    <col min="9222" max="9222" width="15.140625" style="1437" bestFit="1" customWidth="1"/>
    <col min="9223" max="9223" width="11.7109375" style="1437" customWidth="1"/>
    <col min="9224" max="9224" width="16" style="1437" customWidth="1"/>
    <col min="9225" max="9225" width="8.85546875" style="1437" customWidth="1"/>
    <col min="9226" max="9226" width="10.140625" style="1437" customWidth="1"/>
    <col min="9227" max="9227" width="15.140625" style="1437" customWidth="1"/>
    <col min="9228" max="9228" width="19.42578125" style="1437" customWidth="1"/>
    <col min="9229" max="9472" width="9.140625" style="1437"/>
    <col min="9473" max="9473" width="12.140625" style="1437" customWidth="1"/>
    <col min="9474" max="9474" width="16.85546875" style="1437" bestFit="1" customWidth="1"/>
    <col min="9475" max="9475" width="25.140625" style="1437" customWidth="1"/>
    <col min="9476" max="9476" width="19.140625" style="1437" bestFit="1" customWidth="1"/>
    <col min="9477" max="9477" width="12.7109375" style="1437" customWidth="1"/>
    <col min="9478" max="9478" width="15.140625" style="1437" bestFit="1" customWidth="1"/>
    <col min="9479" max="9479" width="11.7109375" style="1437" customWidth="1"/>
    <col min="9480" max="9480" width="16" style="1437" customWidth="1"/>
    <col min="9481" max="9481" width="8.85546875" style="1437" customWidth="1"/>
    <col min="9482" max="9482" width="10.140625" style="1437" customWidth="1"/>
    <col min="9483" max="9483" width="15.140625" style="1437" customWidth="1"/>
    <col min="9484" max="9484" width="19.42578125" style="1437" customWidth="1"/>
    <col min="9485" max="9728" width="9.140625" style="1437"/>
    <col min="9729" max="9729" width="12.140625" style="1437" customWidth="1"/>
    <col min="9730" max="9730" width="16.85546875" style="1437" bestFit="1" customWidth="1"/>
    <col min="9731" max="9731" width="25.140625" style="1437" customWidth="1"/>
    <col min="9732" max="9732" width="19.140625" style="1437" bestFit="1" customWidth="1"/>
    <col min="9733" max="9733" width="12.7109375" style="1437" customWidth="1"/>
    <col min="9734" max="9734" width="15.140625" style="1437" bestFit="1" customWidth="1"/>
    <col min="9735" max="9735" width="11.7109375" style="1437" customWidth="1"/>
    <col min="9736" max="9736" width="16" style="1437" customWidth="1"/>
    <col min="9737" max="9737" width="8.85546875" style="1437" customWidth="1"/>
    <col min="9738" max="9738" width="10.140625" style="1437" customWidth="1"/>
    <col min="9739" max="9739" width="15.140625" style="1437" customWidth="1"/>
    <col min="9740" max="9740" width="19.42578125" style="1437" customWidth="1"/>
    <col min="9741" max="9984" width="9.140625" style="1437"/>
    <col min="9985" max="9985" width="12.140625" style="1437" customWidth="1"/>
    <col min="9986" max="9986" width="16.85546875" style="1437" bestFit="1" customWidth="1"/>
    <col min="9987" max="9987" width="25.140625" style="1437" customWidth="1"/>
    <col min="9988" max="9988" width="19.140625" style="1437" bestFit="1" customWidth="1"/>
    <col min="9989" max="9989" width="12.7109375" style="1437" customWidth="1"/>
    <col min="9990" max="9990" width="15.140625" style="1437" bestFit="1" customWidth="1"/>
    <col min="9991" max="9991" width="11.7109375" style="1437" customWidth="1"/>
    <col min="9992" max="9992" width="16" style="1437" customWidth="1"/>
    <col min="9993" max="9993" width="8.85546875" style="1437" customWidth="1"/>
    <col min="9994" max="9994" width="10.140625" style="1437" customWidth="1"/>
    <col min="9995" max="9995" width="15.140625" style="1437" customWidth="1"/>
    <col min="9996" max="9996" width="19.42578125" style="1437" customWidth="1"/>
    <col min="9997" max="10240" width="9.140625" style="1437"/>
    <col min="10241" max="10241" width="12.140625" style="1437" customWidth="1"/>
    <col min="10242" max="10242" width="16.85546875" style="1437" bestFit="1" customWidth="1"/>
    <col min="10243" max="10243" width="25.140625" style="1437" customWidth="1"/>
    <col min="10244" max="10244" width="19.140625" style="1437" bestFit="1" customWidth="1"/>
    <col min="10245" max="10245" width="12.7109375" style="1437" customWidth="1"/>
    <col min="10246" max="10246" width="15.140625" style="1437" bestFit="1" customWidth="1"/>
    <col min="10247" max="10247" width="11.7109375" style="1437" customWidth="1"/>
    <col min="10248" max="10248" width="16" style="1437" customWidth="1"/>
    <col min="10249" max="10249" width="8.85546875" style="1437" customWidth="1"/>
    <col min="10250" max="10250" width="10.140625" style="1437" customWidth="1"/>
    <col min="10251" max="10251" width="15.140625" style="1437" customWidth="1"/>
    <col min="10252" max="10252" width="19.42578125" style="1437" customWidth="1"/>
    <col min="10253" max="10496" width="9.140625" style="1437"/>
    <col min="10497" max="10497" width="12.140625" style="1437" customWidth="1"/>
    <col min="10498" max="10498" width="16.85546875" style="1437" bestFit="1" customWidth="1"/>
    <col min="10499" max="10499" width="25.140625" style="1437" customWidth="1"/>
    <col min="10500" max="10500" width="19.140625" style="1437" bestFit="1" customWidth="1"/>
    <col min="10501" max="10501" width="12.7109375" style="1437" customWidth="1"/>
    <col min="10502" max="10502" width="15.140625" style="1437" bestFit="1" customWidth="1"/>
    <col min="10503" max="10503" width="11.7109375" style="1437" customWidth="1"/>
    <col min="10504" max="10504" width="16" style="1437" customWidth="1"/>
    <col min="10505" max="10505" width="8.85546875" style="1437" customWidth="1"/>
    <col min="10506" max="10506" width="10.140625" style="1437" customWidth="1"/>
    <col min="10507" max="10507" width="15.140625" style="1437" customWidth="1"/>
    <col min="10508" max="10508" width="19.42578125" style="1437" customWidth="1"/>
    <col min="10509" max="10752" width="9.140625" style="1437"/>
    <col min="10753" max="10753" width="12.140625" style="1437" customWidth="1"/>
    <col min="10754" max="10754" width="16.85546875" style="1437" bestFit="1" customWidth="1"/>
    <col min="10755" max="10755" width="25.140625" style="1437" customWidth="1"/>
    <col min="10756" max="10756" width="19.140625" style="1437" bestFit="1" customWidth="1"/>
    <col min="10757" max="10757" width="12.7109375" style="1437" customWidth="1"/>
    <col min="10758" max="10758" width="15.140625" style="1437" bestFit="1" customWidth="1"/>
    <col min="10759" max="10759" width="11.7109375" style="1437" customWidth="1"/>
    <col min="10760" max="10760" width="16" style="1437" customWidth="1"/>
    <col min="10761" max="10761" width="8.85546875" style="1437" customWidth="1"/>
    <col min="10762" max="10762" width="10.140625" style="1437" customWidth="1"/>
    <col min="10763" max="10763" width="15.140625" style="1437" customWidth="1"/>
    <col min="10764" max="10764" width="19.42578125" style="1437" customWidth="1"/>
    <col min="10765" max="11008" width="9.140625" style="1437"/>
    <col min="11009" max="11009" width="12.140625" style="1437" customWidth="1"/>
    <col min="11010" max="11010" width="16.85546875" style="1437" bestFit="1" customWidth="1"/>
    <col min="11011" max="11011" width="25.140625" style="1437" customWidth="1"/>
    <col min="11012" max="11012" width="19.140625" style="1437" bestFit="1" customWidth="1"/>
    <col min="11013" max="11013" width="12.7109375" style="1437" customWidth="1"/>
    <col min="11014" max="11014" width="15.140625" style="1437" bestFit="1" customWidth="1"/>
    <col min="11015" max="11015" width="11.7109375" style="1437" customWidth="1"/>
    <col min="11016" max="11016" width="16" style="1437" customWidth="1"/>
    <col min="11017" max="11017" width="8.85546875" style="1437" customWidth="1"/>
    <col min="11018" max="11018" width="10.140625" style="1437" customWidth="1"/>
    <col min="11019" max="11019" width="15.140625" style="1437" customWidth="1"/>
    <col min="11020" max="11020" width="19.42578125" style="1437" customWidth="1"/>
    <col min="11021" max="11264" width="9.140625" style="1437"/>
    <col min="11265" max="11265" width="12.140625" style="1437" customWidth="1"/>
    <col min="11266" max="11266" width="16.85546875" style="1437" bestFit="1" customWidth="1"/>
    <col min="11267" max="11267" width="25.140625" style="1437" customWidth="1"/>
    <col min="11268" max="11268" width="19.140625" style="1437" bestFit="1" customWidth="1"/>
    <col min="11269" max="11269" width="12.7109375" style="1437" customWidth="1"/>
    <col min="11270" max="11270" width="15.140625" style="1437" bestFit="1" customWidth="1"/>
    <col min="11271" max="11271" width="11.7109375" style="1437" customWidth="1"/>
    <col min="11272" max="11272" width="16" style="1437" customWidth="1"/>
    <col min="11273" max="11273" width="8.85546875" style="1437" customWidth="1"/>
    <col min="11274" max="11274" width="10.140625" style="1437" customWidth="1"/>
    <col min="11275" max="11275" width="15.140625" style="1437" customWidth="1"/>
    <col min="11276" max="11276" width="19.42578125" style="1437" customWidth="1"/>
    <col min="11277" max="11520" width="9.140625" style="1437"/>
    <col min="11521" max="11521" width="12.140625" style="1437" customWidth="1"/>
    <col min="11522" max="11522" width="16.85546875" style="1437" bestFit="1" customWidth="1"/>
    <col min="11523" max="11523" width="25.140625" style="1437" customWidth="1"/>
    <col min="11524" max="11524" width="19.140625" style="1437" bestFit="1" customWidth="1"/>
    <col min="11525" max="11525" width="12.7109375" style="1437" customWidth="1"/>
    <col min="11526" max="11526" width="15.140625" style="1437" bestFit="1" customWidth="1"/>
    <col min="11527" max="11527" width="11.7109375" style="1437" customWidth="1"/>
    <col min="11528" max="11528" width="16" style="1437" customWidth="1"/>
    <col min="11529" max="11529" width="8.85546875" style="1437" customWidth="1"/>
    <col min="11530" max="11530" width="10.140625" style="1437" customWidth="1"/>
    <col min="11531" max="11531" width="15.140625" style="1437" customWidth="1"/>
    <col min="11532" max="11532" width="19.42578125" style="1437" customWidth="1"/>
    <col min="11533" max="11776" width="9.140625" style="1437"/>
    <col min="11777" max="11777" width="12.140625" style="1437" customWidth="1"/>
    <col min="11778" max="11778" width="16.85546875" style="1437" bestFit="1" customWidth="1"/>
    <col min="11779" max="11779" width="25.140625" style="1437" customWidth="1"/>
    <col min="11780" max="11780" width="19.140625" style="1437" bestFit="1" customWidth="1"/>
    <col min="11781" max="11781" width="12.7109375" style="1437" customWidth="1"/>
    <col min="11782" max="11782" width="15.140625" style="1437" bestFit="1" customWidth="1"/>
    <col min="11783" max="11783" width="11.7109375" style="1437" customWidth="1"/>
    <col min="11784" max="11784" width="16" style="1437" customWidth="1"/>
    <col min="11785" max="11785" width="8.85546875" style="1437" customWidth="1"/>
    <col min="11786" max="11786" width="10.140625" style="1437" customWidth="1"/>
    <col min="11787" max="11787" width="15.140625" style="1437" customWidth="1"/>
    <col min="11788" max="11788" width="19.42578125" style="1437" customWidth="1"/>
    <col min="11789" max="12032" width="9.140625" style="1437"/>
    <col min="12033" max="12033" width="12.140625" style="1437" customWidth="1"/>
    <col min="12034" max="12034" width="16.85546875" style="1437" bestFit="1" customWidth="1"/>
    <col min="12035" max="12035" width="25.140625" style="1437" customWidth="1"/>
    <col min="12036" max="12036" width="19.140625" style="1437" bestFit="1" customWidth="1"/>
    <col min="12037" max="12037" width="12.7109375" style="1437" customWidth="1"/>
    <col min="12038" max="12038" width="15.140625" style="1437" bestFit="1" customWidth="1"/>
    <col min="12039" max="12039" width="11.7109375" style="1437" customWidth="1"/>
    <col min="12040" max="12040" width="16" style="1437" customWidth="1"/>
    <col min="12041" max="12041" width="8.85546875" style="1437" customWidth="1"/>
    <col min="12042" max="12042" width="10.140625" style="1437" customWidth="1"/>
    <col min="12043" max="12043" width="15.140625" style="1437" customWidth="1"/>
    <col min="12044" max="12044" width="19.42578125" style="1437" customWidth="1"/>
    <col min="12045" max="12288" width="9.140625" style="1437"/>
    <col min="12289" max="12289" width="12.140625" style="1437" customWidth="1"/>
    <col min="12290" max="12290" width="16.85546875" style="1437" bestFit="1" customWidth="1"/>
    <col min="12291" max="12291" width="25.140625" style="1437" customWidth="1"/>
    <col min="12292" max="12292" width="19.140625" style="1437" bestFit="1" customWidth="1"/>
    <col min="12293" max="12293" width="12.7109375" style="1437" customWidth="1"/>
    <col min="12294" max="12294" width="15.140625" style="1437" bestFit="1" customWidth="1"/>
    <col min="12295" max="12295" width="11.7109375" style="1437" customWidth="1"/>
    <col min="12296" max="12296" width="16" style="1437" customWidth="1"/>
    <col min="12297" max="12297" width="8.85546875" style="1437" customWidth="1"/>
    <col min="12298" max="12298" width="10.140625" style="1437" customWidth="1"/>
    <col min="12299" max="12299" width="15.140625" style="1437" customWidth="1"/>
    <col min="12300" max="12300" width="19.42578125" style="1437" customWidth="1"/>
    <col min="12301" max="12544" width="9.140625" style="1437"/>
    <col min="12545" max="12545" width="12.140625" style="1437" customWidth="1"/>
    <col min="12546" max="12546" width="16.85546875" style="1437" bestFit="1" customWidth="1"/>
    <col min="12547" max="12547" width="25.140625" style="1437" customWidth="1"/>
    <col min="12548" max="12548" width="19.140625" style="1437" bestFit="1" customWidth="1"/>
    <col min="12549" max="12549" width="12.7109375" style="1437" customWidth="1"/>
    <col min="12550" max="12550" width="15.140625" style="1437" bestFit="1" customWidth="1"/>
    <col min="12551" max="12551" width="11.7109375" style="1437" customWidth="1"/>
    <col min="12552" max="12552" width="16" style="1437" customWidth="1"/>
    <col min="12553" max="12553" width="8.85546875" style="1437" customWidth="1"/>
    <col min="12554" max="12554" width="10.140625" style="1437" customWidth="1"/>
    <col min="12555" max="12555" width="15.140625" style="1437" customWidth="1"/>
    <col min="12556" max="12556" width="19.42578125" style="1437" customWidth="1"/>
    <col min="12557" max="12800" width="9.140625" style="1437"/>
    <col min="12801" max="12801" width="12.140625" style="1437" customWidth="1"/>
    <col min="12802" max="12802" width="16.85546875" style="1437" bestFit="1" customWidth="1"/>
    <col min="12803" max="12803" width="25.140625" style="1437" customWidth="1"/>
    <col min="12804" max="12804" width="19.140625" style="1437" bestFit="1" customWidth="1"/>
    <col min="12805" max="12805" width="12.7109375" style="1437" customWidth="1"/>
    <col min="12806" max="12806" width="15.140625" style="1437" bestFit="1" customWidth="1"/>
    <col min="12807" max="12807" width="11.7109375" style="1437" customWidth="1"/>
    <col min="12808" max="12808" width="16" style="1437" customWidth="1"/>
    <col min="12809" max="12809" width="8.85546875" style="1437" customWidth="1"/>
    <col min="12810" max="12810" width="10.140625" style="1437" customWidth="1"/>
    <col min="12811" max="12811" width="15.140625" style="1437" customWidth="1"/>
    <col min="12812" max="12812" width="19.42578125" style="1437" customWidth="1"/>
    <col min="12813" max="13056" width="9.140625" style="1437"/>
    <col min="13057" max="13057" width="12.140625" style="1437" customWidth="1"/>
    <col min="13058" max="13058" width="16.85546875" style="1437" bestFit="1" customWidth="1"/>
    <col min="13059" max="13059" width="25.140625" style="1437" customWidth="1"/>
    <col min="13060" max="13060" width="19.140625" style="1437" bestFit="1" customWidth="1"/>
    <col min="13061" max="13061" width="12.7109375" style="1437" customWidth="1"/>
    <col min="13062" max="13062" width="15.140625" style="1437" bestFit="1" customWidth="1"/>
    <col min="13063" max="13063" width="11.7109375" style="1437" customWidth="1"/>
    <col min="13064" max="13064" width="16" style="1437" customWidth="1"/>
    <col min="13065" max="13065" width="8.85546875" style="1437" customWidth="1"/>
    <col min="13066" max="13066" width="10.140625" style="1437" customWidth="1"/>
    <col min="13067" max="13067" width="15.140625" style="1437" customWidth="1"/>
    <col min="13068" max="13068" width="19.42578125" style="1437" customWidth="1"/>
    <col min="13069" max="13312" width="9.140625" style="1437"/>
    <col min="13313" max="13313" width="12.140625" style="1437" customWidth="1"/>
    <col min="13314" max="13314" width="16.85546875" style="1437" bestFit="1" customWidth="1"/>
    <col min="13315" max="13315" width="25.140625" style="1437" customWidth="1"/>
    <col min="13316" max="13316" width="19.140625" style="1437" bestFit="1" customWidth="1"/>
    <col min="13317" max="13317" width="12.7109375" style="1437" customWidth="1"/>
    <col min="13318" max="13318" width="15.140625" style="1437" bestFit="1" customWidth="1"/>
    <col min="13319" max="13319" width="11.7109375" style="1437" customWidth="1"/>
    <col min="13320" max="13320" width="16" style="1437" customWidth="1"/>
    <col min="13321" max="13321" width="8.85546875" style="1437" customWidth="1"/>
    <col min="13322" max="13322" width="10.140625" style="1437" customWidth="1"/>
    <col min="13323" max="13323" width="15.140625" style="1437" customWidth="1"/>
    <col min="13324" max="13324" width="19.42578125" style="1437" customWidth="1"/>
    <col min="13325" max="13568" width="9.140625" style="1437"/>
    <col min="13569" max="13569" width="12.140625" style="1437" customWidth="1"/>
    <col min="13570" max="13570" width="16.85546875" style="1437" bestFit="1" customWidth="1"/>
    <col min="13571" max="13571" width="25.140625" style="1437" customWidth="1"/>
    <col min="13572" max="13572" width="19.140625" style="1437" bestFit="1" customWidth="1"/>
    <col min="13573" max="13573" width="12.7109375" style="1437" customWidth="1"/>
    <col min="13574" max="13574" width="15.140625" style="1437" bestFit="1" customWidth="1"/>
    <col min="13575" max="13575" width="11.7109375" style="1437" customWidth="1"/>
    <col min="13576" max="13576" width="16" style="1437" customWidth="1"/>
    <col min="13577" max="13577" width="8.85546875" style="1437" customWidth="1"/>
    <col min="13578" max="13578" width="10.140625" style="1437" customWidth="1"/>
    <col min="13579" max="13579" width="15.140625" style="1437" customWidth="1"/>
    <col min="13580" max="13580" width="19.42578125" style="1437" customWidth="1"/>
    <col min="13581" max="13824" width="9.140625" style="1437"/>
    <col min="13825" max="13825" width="12.140625" style="1437" customWidth="1"/>
    <col min="13826" max="13826" width="16.85546875" style="1437" bestFit="1" customWidth="1"/>
    <col min="13827" max="13827" width="25.140625" style="1437" customWidth="1"/>
    <col min="13828" max="13828" width="19.140625" style="1437" bestFit="1" customWidth="1"/>
    <col min="13829" max="13829" width="12.7109375" style="1437" customWidth="1"/>
    <col min="13830" max="13830" width="15.140625" style="1437" bestFit="1" customWidth="1"/>
    <col min="13831" max="13831" width="11.7109375" style="1437" customWidth="1"/>
    <col min="13832" max="13832" width="16" style="1437" customWidth="1"/>
    <col min="13833" max="13833" width="8.85546875" style="1437" customWidth="1"/>
    <col min="13834" max="13834" width="10.140625" style="1437" customWidth="1"/>
    <col min="13835" max="13835" width="15.140625" style="1437" customWidth="1"/>
    <col min="13836" max="13836" width="19.42578125" style="1437" customWidth="1"/>
    <col min="13837" max="14080" width="9.140625" style="1437"/>
    <col min="14081" max="14081" width="12.140625" style="1437" customWidth="1"/>
    <col min="14082" max="14082" width="16.85546875" style="1437" bestFit="1" customWidth="1"/>
    <col min="14083" max="14083" width="25.140625" style="1437" customWidth="1"/>
    <col min="14084" max="14084" width="19.140625" style="1437" bestFit="1" customWidth="1"/>
    <col min="14085" max="14085" width="12.7109375" style="1437" customWidth="1"/>
    <col min="14086" max="14086" width="15.140625" style="1437" bestFit="1" customWidth="1"/>
    <col min="14087" max="14087" width="11.7109375" style="1437" customWidth="1"/>
    <col min="14088" max="14088" width="16" style="1437" customWidth="1"/>
    <col min="14089" max="14089" width="8.85546875" style="1437" customWidth="1"/>
    <col min="14090" max="14090" width="10.140625" style="1437" customWidth="1"/>
    <col min="14091" max="14091" width="15.140625" style="1437" customWidth="1"/>
    <col min="14092" max="14092" width="19.42578125" style="1437" customWidth="1"/>
    <col min="14093" max="14336" width="9.140625" style="1437"/>
    <col min="14337" max="14337" width="12.140625" style="1437" customWidth="1"/>
    <col min="14338" max="14338" width="16.85546875" style="1437" bestFit="1" customWidth="1"/>
    <col min="14339" max="14339" width="25.140625" style="1437" customWidth="1"/>
    <col min="14340" max="14340" width="19.140625" style="1437" bestFit="1" customWidth="1"/>
    <col min="14341" max="14341" width="12.7109375" style="1437" customWidth="1"/>
    <col min="14342" max="14342" width="15.140625" style="1437" bestFit="1" customWidth="1"/>
    <col min="14343" max="14343" width="11.7109375" style="1437" customWidth="1"/>
    <col min="14344" max="14344" width="16" style="1437" customWidth="1"/>
    <col min="14345" max="14345" width="8.85546875" style="1437" customWidth="1"/>
    <col min="14346" max="14346" width="10.140625" style="1437" customWidth="1"/>
    <col min="14347" max="14347" width="15.140625" style="1437" customWidth="1"/>
    <col min="14348" max="14348" width="19.42578125" style="1437" customWidth="1"/>
    <col min="14349" max="14592" width="9.140625" style="1437"/>
    <col min="14593" max="14593" width="12.140625" style="1437" customWidth="1"/>
    <col min="14594" max="14594" width="16.85546875" style="1437" bestFit="1" customWidth="1"/>
    <col min="14595" max="14595" width="25.140625" style="1437" customWidth="1"/>
    <col min="14596" max="14596" width="19.140625" style="1437" bestFit="1" customWidth="1"/>
    <col min="14597" max="14597" width="12.7109375" style="1437" customWidth="1"/>
    <col min="14598" max="14598" width="15.140625" style="1437" bestFit="1" customWidth="1"/>
    <col min="14599" max="14599" width="11.7109375" style="1437" customWidth="1"/>
    <col min="14600" max="14600" width="16" style="1437" customWidth="1"/>
    <col min="14601" max="14601" width="8.85546875" style="1437" customWidth="1"/>
    <col min="14602" max="14602" width="10.140625" style="1437" customWidth="1"/>
    <col min="14603" max="14603" width="15.140625" style="1437" customWidth="1"/>
    <col min="14604" max="14604" width="19.42578125" style="1437" customWidth="1"/>
    <col min="14605" max="14848" width="9.140625" style="1437"/>
    <col min="14849" max="14849" width="12.140625" style="1437" customWidth="1"/>
    <col min="14850" max="14850" width="16.85546875" style="1437" bestFit="1" customWidth="1"/>
    <col min="14851" max="14851" width="25.140625" style="1437" customWidth="1"/>
    <col min="14852" max="14852" width="19.140625" style="1437" bestFit="1" customWidth="1"/>
    <col min="14853" max="14853" width="12.7109375" style="1437" customWidth="1"/>
    <col min="14854" max="14854" width="15.140625" style="1437" bestFit="1" customWidth="1"/>
    <col min="14855" max="14855" width="11.7109375" style="1437" customWidth="1"/>
    <col min="14856" max="14856" width="16" style="1437" customWidth="1"/>
    <col min="14857" max="14857" width="8.85546875" style="1437" customWidth="1"/>
    <col min="14858" max="14858" width="10.140625" style="1437" customWidth="1"/>
    <col min="14859" max="14859" width="15.140625" style="1437" customWidth="1"/>
    <col min="14860" max="14860" width="19.42578125" style="1437" customWidth="1"/>
    <col min="14861" max="15104" width="9.140625" style="1437"/>
    <col min="15105" max="15105" width="12.140625" style="1437" customWidth="1"/>
    <col min="15106" max="15106" width="16.85546875" style="1437" bestFit="1" customWidth="1"/>
    <col min="15107" max="15107" width="25.140625" style="1437" customWidth="1"/>
    <col min="15108" max="15108" width="19.140625" style="1437" bestFit="1" customWidth="1"/>
    <col min="15109" max="15109" width="12.7109375" style="1437" customWidth="1"/>
    <col min="15110" max="15110" width="15.140625" style="1437" bestFit="1" customWidth="1"/>
    <col min="15111" max="15111" width="11.7109375" style="1437" customWidth="1"/>
    <col min="15112" max="15112" width="16" style="1437" customWidth="1"/>
    <col min="15113" max="15113" width="8.85546875" style="1437" customWidth="1"/>
    <col min="15114" max="15114" width="10.140625" style="1437" customWidth="1"/>
    <col min="15115" max="15115" width="15.140625" style="1437" customWidth="1"/>
    <col min="15116" max="15116" width="19.42578125" style="1437" customWidth="1"/>
    <col min="15117" max="15360" width="9.140625" style="1437"/>
    <col min="15361" max="15361" width="12.140625" style="1437" customWidth="1"/>
    <col min="15362" max="15362" width="16.85546875" style="1437" bestFit="1" customWidth="1"/>
    <col min="15363" max="15363" width="25.140625" style="1437" customWidth="1"/>
    <col min="15364" max="15364" width="19.140625" style="1437" bestFit="1" customWidth="1"/>
    <col min="15365" max="15365" width="12.7109375" style="1437" customWidth="1"/>
    <col min="15366" max="15366" width="15.140625" style="1437" bestFit="1" customWidth="1"/>
    <col min="15367" max="15367" width="11.7109375" style="1437" customWidth="1"/>
    <col min="15368" max="15368" width="16" style="1437" customWidth="1"/>
    <col min="15369" max="15369" width="8.85546875" style="1437" customWidth="1"/>
    <col min="15370" max="15370" width="10.140625" style="1437" customWidth="1"/>
    <col min="15371" max="15371" width="15.140625" style="1437" customWidth="1"/>
    <col min="15372" max="15372" width="19.42578125" style="1437" customWidth="1"/>
    <col min="15373" max="15616" width="9.140625" style="1437"/>
    <col min="15617" max="15617" width="12.140625" style="1437" customWidth="1"/>
    <col min="15618" max="15618" width="16.85546875" style="1437" bestFit="1" customWidth="1"/>
    <col min="15619" max="15619" width="25.140625" style="1437" customWidth="1"/>
    <col min="15620" max="15620" width="19.140625" style="1437" bestFit="1" customWidth="1"/>
    <col min="15621" max="15621" width="12.7109375" style="1437" customWidth="1"/>
    <col min="15622" max="15622" width="15.140625" style="1437" bestFit="1" customWidth="1"/>
    <col min="15623" max="15623" width="11.7109375" style="1437" customWidth="1"/>
    <col min="15624" max="15624" width="16" style="1437" customWidth="1"/>
    <col min="15625" max="15625" width="8.85546875" style="1437" customWidth="1"/>
    <col min="15626" max="15626" width="10.140625" style="1437" customWidth="1"/>
    <col min="15627" max="15627" width="15.140625" style="1437" customWidth="1"/>
    <col min="15628" max="15628" width="19.42578125" style="1437" customWidth="1"/>
    <col min="15629" max="15872" width="9.140625" style="1437"/>
    <col min="15873" max="15873" width="12.140625" style="1437" customWidth="1"/>
    <col min="15874" max="15874" width="16.85546875" style="1437" bestFit="1" customWidth="1"/>
    <col min="15875" max="15875" width="25.140625" style="1437" customWidth="1"/>
    <col min="15876" max="15876" width="19.140625" style="1437" bestFit="1" customWidth="1"/>
    <col min="15877" max="15877" width="12.7109375" style="1437" customWidth="1"/>
    <col min="15878" max="15878" width="15.140625" style="1437" bestFit="1" customWidth="1"/>
    <col min="15879" max="15879" width="11.7109375" style="1437" customWidth="1"/>
    <col min="15880" max="15880" width="16" style="1437" customWidth="1"/>
    <col min="15881" max="15881" width="8.85546875" style="1437" customWidth="1"/>
    <col min="15882" max="15882" width="10.140625" style="1437" customWidth="1"/>
    <col min="15883" max="15883" width="15.140625" style="1437" customWidth="1"/>
    <col min="15884" max="15884" width="19.42578125" style="1437" customWidth="1"/>
    <col min="15885" max="16128" width="9.140625" style="1437"/>
    <col min="16129" max="16129" width="12.140625" style="1437" customWidth="1"/>
    <col min="16130" max="16130" width="16.85546875" style="1437" bestFit="1" customWidth="1"/>
    <col min="16131" max="16131" width="25.140625" style="1437" customWidth="1"/>
    <col min="16132" max="16132" width="19.140625" style="1437" bestFit="1" customWidth="1"/>
    <col min="16133" max="16133" width="12.7109375" style="1437" customWidth="1"/>
    <col min="16134" max="16134" width="15.140625" style="1437" bestFit="1" customWidth="1"/>
    <col min="16135" max="16135" width="11.7109375" style="1437" customWidth="1"/>
    <col min="16136" max="16136" width="16" style="1437" customWidth="1"/>
    <col min="16137" max="16137" width="8.85546875" style="1437" customWidth="1"/>
    <col min="16138" max="16138" width="10.140625" style="1437" customWidth="1"/>
    <col min="16139" max="16139" width="15.140625" style="1437" customWidth="1"/>
    <col min="16140" max="16140" width="19.42578125" style="1437" customWidth="1"/>
    <col min="16141" max="16384" width="9.140625" style="1437"/>
  </cols>
  <sheetData>
    <row r="1" spans="1:11" ht="15.75" customHeight="1">
      <c r="A1" s="1939" t="s">
        <v>187</v>
      </c>
      <c r="B1" s="1940"/>
      <c r="C1" s="1940"/>
      <c r="D1" s="1940"/>
      <c r="E1" s="1940"/>
      <c r="F1" s="1940"/>
      <c r="G1" s="1941"/>
      <c r="H1" s="1360" t="s">
        <v>1869</v>
      </c>
      <c r="I1" s="1361"/>
      <c r="J1" s="1362"/>
      <c r="K1" s="1363"/>
    </row>
    <row r="2" spans="1:11" ht="15.75" customHeight="1">
      <c r="A2" s="1942" t="s">
        <v>188</v>
      </c>
      <c r="B2" s="1943"/>
      <c r="C2" s="1943"/>
      <c r="D2" s="1943"/>
      <c r="E2" s="1943"/>
      <c r="F2" s="1943"/>
      <c r="G2" s="1944"/>
      <c r="H2" s="1135">
        <v>17862944</v>
      </c>
      <c r="I2" s="1365"/>
      <c r="J2" s="1366"/>
      <c r="K2" s="1367"/>
    </row>
    <row r="3" spans="1:11" ht="16.5" thickBot="1">
      <c r="A3" s="1945" t="s">
        <v>1905</v>
      </c>
      <c r="B3" s="1946"/>
      <c r="C3" s="1136" t="s">
        <v>295</v>
      </c>
      <c r="D3" s="1137"/>
      <c r="E3" s="1137"/>
      <c r="F3" s="1137"/>
      <c r="G3" s="1138"/>
      <c r="H3" s="1365"/>
      <c r="I3" s="1365"/>
      <c r="J3" s="1366"/>
      <c r="K3" s="1367"/>
    </row>
    <row r="4" spans="1:11" ht="12.75" customHeight="1">
      <c r="A4" s="1947" t="s">
        <v>10</v>
      </c>
      <c r="B4" s="1949" t="s">
        <v>11</v>
      </c>
      <c r="C4" s="1949" t="s">
        <v>12</v>
      </c>
      <c r="D4" s="1949" t="s">
        <v>13</v>
      </c>
      <c r="E4" s="1949" t="s">
        <v>14</v>
      </c>
      <c r="F4" s="1930" t="s">
        <v>4112</v>
      </c>
      <c r="G4" s="1930"/>
      <c r="H4" s="1930"/>
      <c r="I4" s="1930" t="s">
        <v>4071</v>
      </c>
      <c r="J4" s="1930"/>
      <c r="K4" s="1931"/>
    </row>
    <row r="5" spans="1:11" ht="29.25" customHeight="1" thickBot="1">
      <c r="A5" s="1948"/>
      <c r="B5" s="1950"/>
      <c r="C5" s="1950"/>
      <c r="D5" s="1950"/>
      <c r="E5" s="1950"/>
      <c r="F5" s="1368" t="s">
        <v>15</v>
      </c>
      <c r="G5" s="1369" t="s">
        <v>16</v>
      </c>
      <c r="H5" s="1369" t="s">
        <v>17</v>
      </c>
      <c r="I5" s="1368" t="s">
        <v>15</v>
      </c>
      <c r="J5" s="1370" t="s">
        <v>16</v>
      </c>
      <c r="K5" s="1371" t="s">
        <v>17</v>
      </c>
    </row>
    <row r="6" spans="1:11" ht="17.25" customHeight="1" thickBot="1">
      <c r="A6" s="1932" t="s">
        <v>3692</v>
      </c>
      <c r="B6" s="1933"/>
      <c r="C6" s="1933"/>
      <c r="D6" s="1933"/>
      <c r="E6" s="1933"/>
      <c r="F6" s="1934"/>
      <c r="G6" s="1935"/>
      <c r="H6" s="1372">
        <f>SUM(H7:H47)</f>
        <v>8483784.25</v>
      </c>
      <c r="I6" s="1373"/>
      <c r="J6" s="1374"/>
      <c r="K6" s="1375">
        <f>SUM(K7:K47)</f>
        <v>8321994.5743675157</v>
      </c>
    </row>
    <row r="7" spans="1:11" ht="27" customHeight="1">
      <c r="A7" s="1376" t="s">
        <v>3693</v>
      </c>
      <c r="B7" s="1377" t="s">
        <v>3694</v>
      </c>
      <c r="C7" s="1378" t="s">
        <v>3695</v>
      </c>
      <c r="D7" s="1378" t="s">
        <v>3696</v>
      </c>
      <c r="E7" s="1379" t="s">
        <v>3697</v>
      </c>
      <c r="F7" s="1380">
        <f>16+72</f>
        <v>88</v>
      </c>
      <c r="G7" s="1381">
        <f>H7/F7</f>
        <v>33368.99511363636</v>
      </c>
      <c r="H7" s="1382">
        <f>535712.32+2400759.25</f>
        <v>2936471.57</v>
      </c>
      <c r="I7" s="1383">
        <v>86</v>
      </c>
      <c r="J7" s="1384">
        <v>33368.99511363636</v>
      </c>
      <c r="K7" s="1385">
        <f>I7*J7</f>
        <v>2869733.5797727271</v>
      </c>
    </row>
    <row r="8" spans="1:11" ht="27" customHeight="1">
      <c r="A8" s="1386" t="s">
        <v>3698</v>
      </c>
      <c r="B8" s="1387" t="s">
        <v>3694</v>
      </c>
      <c r="C8" s="1388" t="s">
        <v>3695</v>
      </c>
      <c r="D8" s="1388" t="s">
        <v>3696</v>
      </c>
      <c r="E8" s="1389" t="s">
        <v>3699</v>
      </c>
      <c r="F8" s="1390">
        <v>3</v>
      </c>
      <c r="G8" s="1391">
        <f t="shared" ref="G8:G47" si="0">H8/F8</f>
        <v>66843.626666666663</v>
      </c>
      <c r="H8" s="1385">
        <v>200530.88</v>
      </c>
      <c r="I8" s="1392">
        <v>3</v>
      </c>
      <c r="J8" s="1393">
        <v>66843.626666666663</v>
      </c>
      <c r="K8" s="1385">
        <f t="shared" ref="K8:K47" si="1">I8*J8</f>
        <v>200530.88</v>
      </c>
    </row>
    <row r="9" spans="1:11" ht="27" customHeight="1">
      <c r="A9" s="1386" t="s">
        <v>3999</v>
      </c>
      <c r="B9" s="1387" t="s">
        <v>3694</v>
      </c>
      <c r="C9" s="1388" t="s">
        <v>3695</v>
      </c>
      <c r="D9" s="1388" t="s">
        <v>3696</v>
      </c>
      <c r="E9" s="1389" t="s">
        <v>4000</v>
      </c>
      <c r="F9" s="1390">
        <v>7</v>
      </c>
      <c r="G9" s="1391">
        <f t="shared" si="0"/>
        <v>11126.264285714287</v>
      </c>
      <c r="H9" s="1385">
        <f>11160.71+66723.14</f>
        <v>77883.850000000006</v>
      </c>
      <c r="I9" s="1392">
        <v>7</v>
      </c>
      <c r="J9" s="1393">
        <v>11126.264285714287</v>
      </c>
      <c r="K9" s="1385">
        <f t="shared" si="1"/>
        <v>77883.850000000006</v>
      </c>
    </row>
    <row r="10" spans="1:11" ht="30.75" customHeight="1">
      <c r="A10" s="1386" t="s">
        <v>3700</v>
      </c>
      <c r="B10" s="1387" t="s">
        <v>3701</v>
      </c>
      <c r="C10" s="1388" t="s">
        <v>3702</v>
      </c>
      <c r="D10" s="1388" t="s">
        <v>3696</v>
      </c>
      <c r="E10" s="1389" t="s">
        <v>3703</v>
      </c>
      <c r="F10" s="1390">
        <v>46</v>
      </c>
      <c r="G10" s="1391">
        <f t="shared" si="0"/>
        <v>9075</v>
      </c>
      <c r="H10" s="1385">
        <f>80850+336600</f>
        <v>417450</v>
      </c>
      <c r="I10" s="1392">
        <v>45</v>
      </c>
      <c r="J10" s="1394">
        <v>9866.2819999999992</v>
      </c>
      <c r="K10" s="1385">
        <f t="shared" si="1"/>
        <v>443982.68999999994</v>
      </c>
    </row>
    <row r="11" spans="1:11" ht="30.75" customHeight="1">
      <c r="A11" s="1386" t="s">
        <v>3704</v>
      </c>
      <c r="B11" s="1387" t="s">
        <v>3705</v>
      </c>
      <c r="C11" s="1388" t="s">
        <v>3706</v>
      </c>
      <c r="D11" s="1388" t="s">
        <v>3707</v>
      </c>
      <c r="E11" s="1389" t="s">
        <v>3708</v>
      </c>
      <c r="F11" s="1390">
        <v>56</v>
      </c>
      <c r="G11" s="1391">
        <f t="shared" si="0"/>
        <v>27424.761785714283</v>
      </c>
      <c r="H11" s="1385">
        <f>463716+1072070.66</f>
        <v>1535786.66</v>
      </c>
      <c r="I11" s="1392">
        <v>56</v>
      </c>
      <c r="J11" s="1394">
        <v>27424.761785714283</v>
      </c>
      <c r="K11" s="1385">
        <f t="shared" si="1"/>
        <v>1535786.66</v>
      </c>
    </row>
    <row r="12" spans="1:11" ht="30.75" customHeight="1">
      <c r="A12" s="1395" t="s">
        <v>4113</v>
      </c>
      <c r="B12" s="1387" t="s">
        <v>3705</v>
      </c>
      <c r="C12" s="1388" t="s">
        <v>3709</v>
      </c>
      <c r="D12" s="1388" t="s">
        <v>3707</v>
      </c>
      <c r="E12" s="1389" t="s">
        <v>3710</v>
      </c>
      <c r="F12" s="1390">
        <v>4</v>
      </c>
      <c r="G12" s="1391">
        <f t="shared" si="0"/>
        <v>24552</v>
      </c>
      <c r="H12" s="1385">
        <v>98208</v>
      </c>
      <c r="I12" s="1392">
        <v>4</v>
      </c>
      <c r="J12" s="1394">
        <v>24552</v>
      </c>
      <c r="K12" s="1385">
        <f t="shared" si="1"/>
        <v>98208</v>
      </c>
    </row>
    <row r="13" spans="1:11" ht="30.75" customHeight="1">
      <c r="A13" s="1386" t="s">
        <v>3711</v>
      </c>
      <c r="B13" s="1387" t="s">
        <v>3712</v>
      </c>
      <c r="C13" s="1388" t="s">
        <v>3713</v>
      </c>
      <c r="D13" s="1388" t="s">
        <v>3714</v>
      </c>
      <c r="E13" s="1389" t="s">
        <v>3715</v>
      </c>
      <c r="F13" s="1390">
        <f>7+3</f>
        <v>10</v>
      </c>
      <c r="G13" s="1391">
        <f t="shared" si="0"/>
        <v>1041.0179999999998</v>
      </c>
      <c r="H13" s="1385">
        <f>7294.98+2073.06+1042.14</f>
        <v>10410.179999999998</v>
      </c>
      <c r="I13" s="1392">
        <v>10</v>
      </c>
      <c r="J13" s="1394">
        <v>1041.0179999999998</v>
      </c>
      <c r="K13" s="1385">
        <f t="shared" si="1"/>
        <v>10410.179999999998</v>
      </c>
    </row>
    <row r="14" spans="1:11" ht="30.75" customHeight="1">
      <c r="A14" s="923">
        <v>31500</v>
      </c>
      <c r="B14" s="1387" t="s">
        <v>3716</v>
      </c>
      <c r="C14" s="1287" t="s">
        <v>3717</v>
      </c>
      <c r="D14" s="924" t="s">
        <v>3718</v>
      </c>
      <c r="E14" s="925" t="s">
        <v>3719</v>
      </c>
      <c r="F14" s="1390">
        <f>13+90</f>
        <v>103</v>
      </c>
      <c r="G14" s="1391">
        <f t="shared" si="0"/>
        <v>484.97718446601937</v>
      </c>
      <c r="H14" s="1385">
        <f>6312.02+43640.63</f>
        <v>49952.649999999994</v>
      </c>
      <c r="I14" s="1396">
        <v>100</v>
      </c>
      <c r="J14" s="926">
        <v>484.97718446601937</v>
      </c>
      <c r="K14" s="1385">
        <f t="shared" si="1"/>
        <v>48497.718446601939</v>
      </c>
    </row>
    <row r="15" spans="1:11" ht="30.75" customHeight="1">
      <c r="A15" s="923">
        <v>31501</v>
      </c>
      <c r="B15" s="1387" t="s">
        <v>3716</v>
      </c>
      <c r="C15" s="1287" t="s">
        <v>3717</v>
      </c>
      <c r="D15" s="924" t="s">
        <v>3718</v>
      </c>
      <c r="E15" s="925" t="s">
        <v>3720</v>
      </c>
      <c r="F15" s="1390">
        <v>26</v>
      </c>
      <c r="G15" s="1391">
        <f t="shared" si="0"/>
        <v>881.07461538461553</v>
      </c>
      <c r="H15" s="1385">
        <f>7060.24+15847.7</f>
        <v>22907.940000000002</v>
      </c>
      <c r="I15" s="1396">
        <v>25</v>
      </c>
      <c r="J15" s="926">
        <v>881.07461538461553</v>
      </c>
      <c r="K15" s="1385">
        <f t="shared" si="1"/>
        <v>22026.865384615387</v>
      </c>
    </row>
    <row r="16" spans="1:11" ht="30.75" customHeight="1">
      <c r="A16" s="923" t="s">
        <v>4114</v>
      </c>
      <c r="B16" s="1387" t="s">
        <v>3721</v>
      </c>
      <c r="C16" s="1287" t="s">
        <v>3722</v>
      </c>
      <c r="D16" s="924" t="s">
        <v>3723</v>
      </c>
      <c r="E16" s="925" t="s">
        <v>3724</v>
      </c>
      <c r="F16" s="1390">
        <f>21+220+40</f>
        <v>281</v>
      </c>
      <c r="G16" s="1391">
        <f t="shared" si="0"/>
        <v>361.78686832740215</v>
      </c>
      <c r="H16" s="1385">
        <f>7447.96+80186.95+14027.2</f>
        <v>101662.11</v>
      </c>
      <c r="I16" s="1396">
        <v>250</v>
      </c>
      <c r="J16" s="926">
        <v>361.78686832740215</v>
      </c>
      <c r="K16" s="1385">
        <f t="shared" si="1"/>
        <v>90446.71708185054</v>
      </c>
    </row>
    <row r="17" spans="1:11" ht="30.75" customHeight="1">
      <c r="A17" s="923">
        <v>34024</v>
      </c>
      <c r="B17" s="1387" t="s">
        <v>3721</v>
      </c>
      <c r="C17" s="1287" t="s">
        <v>3725</v>
      </c>
      <c r="D17" s="924" t="s">
        <v>3726</v>
      </c>
      <c r="E17" s="925" t="s">
        <v>3719</v>
      </c>
      <c r="F17" s="1390">
        <f>53+153</f>
        <v>206</v>
      </c>
      <c r="G17" s="1391">
        <f t="shared" si="0"/>
        <v>305.78038834951451</v>
      </c>
      <c r="H17" s="1385">
        <f>16112.34+46878.42</f>
        <v>62990.759999999995</v>
      </c>
      <c r="I17" s="1396">
        <v>200</v>
      </c>
      <c r="J17" s="926">
        <v>305.78038834951451</v>
      </c>
      <c r="K17" s="1385">
        <f t="shared" si="1"/>
        <v>61156.077669902901</v>
      </c>
    </row>
    <row r="18" spans="1:11" ht="30.75" customHeight="1">
      <c r="A18" s="923" t="s">
        <v>4115</v>
      </c>
      <c r="B18" s="1387" t="s">
        <v>3727</v>
      </c>
      <c r="C18" s="1287" t="s">
        <v>3728</v>
      </c>
      <c r="D18" s="924" t="s">
        <v>3729</v>
      </c>
      <c r="E18" s="925" t="s">
        <v>3730</v>
      </c>
      <c r="F18" s="1390">
        <f>12+65+21</f>
        <v>98</v>
      </c>
      <c r="G18" s="1391">
        <f t="shared" si="0"/>
        <v>565.62142857142851</v>
      </c>
      <c r="H18" s="1385">
        <f>6783+36740.99+11906.91</f>
        <v>55430.899999999994</v>
      </c>
      <c r="I18" s="1396">
        <v>90</v>
      </c>
      <c r="J18" s="926">
        <v>565.62142857142851</v>
      </c>
      <c r="K18" s="1385">
        <f t="shared" si="1"/>
        <v>50905.928571428565</v>
      </c>
    </row>
    <row r="19" spans="1:11" ht="38.450000000000003" customHeight="1">
      <c r="A19" s="923" t="s">
        <v>4116</v>
      </c>
      <c r="B19" s="1387" t="s">
        <v>3727</v>
      </c>
      <c r="C19" s="1287" t="s">
        <v>3731</v>
      </c>
      <c r="D19" s="924" t="s">
        <v>3729</v>
      </c>
      <c r="E19" s="925" t="s">
        <v>3720</v>
      </c>
      <c r="F19" s="1390">
        <f>11+15+43</f>
        <v>69</v>
      </c>
      <c r="G19" s="1391">
        <f t="shared" si="0"/>
        <v>2102.0259420289858</v>
      </c>
      <c r="H19" s="1385">
        <f>7340.86+12413.87+26601.15+98683.91</f>
        <v>145039.79</v>
      </c>
      <c r="I19" s="1396">
        <v>65</v>
      </c>
      <c r="J19" s="926">
        <v>2102.0259420289858</v>
      </c>
      <c r="K19" s="1385">
        <f t="shared" si="1"/>
        <v>136631.68623188409</v>
      </c>
    </row>
    <row r="20" spans="1:11" ht="38.25">
      <c r="A20" s="923" t="s">
        <v>4117</v>
      </c>
      <c r="B20" s="1387" t="s">
        <v>3732</v>
      </c>
      <c r="C20" s="1287" t="s">
        <v>3733</v>
      </c>
      <c r="D20" s="924" t="s">
        <v>3734</v>
      </c>
      <c r="E20" s="925" t="s">
        <v>3719</v>
      </c>
      <c r="F20" s="1390">
        <f>996+346+1130+170+3566+1199</f>
        <v>7407</v>
      </c>
      <c r="G20" s="1391">
        <f t="shared" si="0"/>
        <v>81.216187390306473</v>
      </c>
      <c r="H20" s="1385">
        <f>80898.84+28101.38+91735.41+13805.94+289645.06+97381.67</f>
        <v>601568.30000000005</v>
      </c>
      <c r="I20" s="1396">
        <v>7400</v>
      </c>
      <c r="J20" s="926">
        <v>81.216187390306473</v>
      </c>
      <c r="K20" s="1385">
        <f t="shared" si="1"/>
        <v>600999.78668826795</v>
      </c>
    </row>
    <row r="21" spans="1:11" ht="30.75" customHeight="1">
      <c r="A21" s="923" t="s">
        <v>4118</v>
      </c>
      <c r="B21" s="1387" t="s">
        <v>3735</v>
      </c>
      <c r="C21" s="1287" t="s">
        <v>3736</v>
      </c>
      <c r="D21" s="924" t="s">
        <v>3737</v>
      </c>
      <c r="E21" s="925" t="s">
        <v>3738</v>
      </c>
      <c r="F21" s="1390">
        <f>11+3</f>
        <v>14</v>
      </c>
      <c r="G21" s="1391">
        <f t="shared" si="0"/>
        <v>736.48571428571438</v>
      </c>
      <c r="H21" s="1385">
        <f>5155.43+2945.94+2209.43</f>
        <v>10310.800000000001</v>
      </c>
      <c r="I21" s="1396">
        <v>14</v>
      </c>
      <c r="J21" s="926">
        <v>736.48571428571438</v>
      </c>
      <c r="K21" s="1385">
        <f t="shared" si="1"/>
        <v>10310.800000000001</v>
      </c>
    </row>
    <row r="22" spans="1:11" ht="30.75" customHeight="1">
      <c r="A22" s="923">
        <v>1039853</v>
      </c>
      <c r="B22" s="1387" t="s">
        <v>3739</v>
      </c>
      <c r="C22" s="1287" t="s">
        <v>3740</v>
      </c>
      <c r="D22" s="924" t="s">
        <v>3737</v>
      </c>
      <c r="E22" s="925" t="s">
        <v>3741</v>
      </c>
      <c r="F22" s="1390">
        <f>27+226</f>
        <v>253</v>
      </c>
      <c r="G22" s="1391">
        <f t="shared" si="0"/>
        <v>494.15395256916997</v>
      </c>
      <c r="H22" s="1385">
        <f>14460.44+110560.51</f>
        <v>125020.95</v>
      </c>
      <c r="I22" s="1396">
        <v>250</v>
      </c>
      <c r="J22" s="926">
        <v>494.15395256916997</v>
      </c>
      <c r="K22" s="1385">
        <f t="shared" si="1"/>
        <v>123538.4881422925</v>
      </c>
    </row>
    <row r="23" spans="1:11" ht="30.75" customHeight="1">
      <c r="A23" s="923">
        <v>1039854</v>
      </c>
      <c r="B23" s="1387" t="s">
        <v>3739</v>
      </c>
      <c r="C23" s="1287" t="s">
        <v>3740</v>
      </c>
      <c r="D23" s="924" t="s">
        <v>3737</v>
      </c>
      <c r="E23" s="925" t="s">
        <v>3738</v>
      </c>
      <c r="F23" s="1390">
        <f>26+139</f>
        <v>165</v>
      </c>
      <c r="G23" s="1391">
        <f t="shared" si="0"/>
        <v>989.10860606060612</v>
      </c>
      <c r="H23" s="1385">
        <f>28000.73+135202.19</f>
        <v>163202.92000000001</v>
      </c>
      <c r="I23" s="1396">
        <v>160</v>
      </c>
      <c r="J23" s="926">
        <v>989.10860606060612</v>
      </c>
      <c r="K23" s="1385">
        <f t="shared" si="1"/>
        <v>158257.37696969698</v>
      </c>
    </row>
    <row r="24" spans="1:11" ht="30.75" customHeight="1">
      <c r="A24" s="923">
        <v>39727</v>
      </c>
      <c r="B24" s="1387" t="s">
        <v>3742</v>
      </c>
      <c r="C24" s="1287" t="s">
        <v>3743</v>
      </c>
      <c r="D24" s="924" t="s">
        <v>3737</v>
      </c>
      <c r="E24" s="925" t="s">
        <v>3744</v>
      </c>
      <c r="F24" s="1390">
        <f>3+18</f>
        <v>21</v>
      </c>
      <c r="G24" s="1391">
        <f t="shared" si="0"/>
        <v>2526.8976190476192</v>
      </c>
      <c r="H24" s="1385">
        <f>7582.62+45482.23</f>
        <v>53064.850000000006</v>
      </c>
      <c r="I24" s="1396">
        <v>20</v>
      </c>
      <c r="J24" s="926">
        <v>2526.8976190476192</v>
      </c>
      <c r="K24" s="1385">
        <f t="shared" si="1"/>
        <v>50537.952380952382</v>
      </c>
    </row>
    <row r="25" spans="1:11" ht="30.75" customHeight="1">
      <c r="A25" s="923">
        <v>39728</v>
      </c>
      <c r="B25" s="1387" t="s">
        <v>3742</v>
      </c>
      <c r="C25" s="1287" t="s">
        <v>3745</v>
      </c>
      <c r="D25" s="924" t="s">
        <v>3737</v>
      </c>
      <c r="E25" s="925" t="s">
        <v>3746</v>
      </c>
      <c r="F25" s="1390">
        <f>7+9</f>
        <v>16</v>
      </c>
      <c r="G25" s="1391">
        <f t="shared" si="0"/>
        <v>9386.2799999999988</v>
      </c>
      <c r="H25" s="1385">
        <f>65680.23+84500.25</f>
        <v>150180.47999999998</v>
      </c>
      <c r="I25" s="1396">
        <v>16</v>
      </c>
      <c r="J25" s="926">
        <v>9386.2799999999988</v>
      </c>
      <c r="K25" s="1385">
        <f t="shared" si="1"/>
        <v>150180.47999999998</v>
      </c>
    </row>
    <row r="26" spans="1:11" ht="30.75" customHeight="1">
      <c r="A26" s="923">
        <v>33190</v>
      </c>
      <c r="B26" s="1387" t="s">
        <v>3747</v>
      </c>
      <c r="C26" s="1287" t="s">
        <v>3748</v>
      </c>
      <c r="D26" s="924" t="s">
        <v>3737</v>
      </c>
      <c r="E26" s="925" t="s">
        <v>3749</v>
      </c>
      <c r="F26" s="1390">
        <f>5+117</f>
        <v>122</v>
      </c>
      <c r="G26" s="1391">
        <f t="shared" si="0"/>
        <v>580.62360655737712</v>
      </c>
      <c r="H26" s="1385">
        <f>2919.12+67916.96</f>
        <v>70836.08</v>
      </c>
      <c r="I26" s="1396">
        <v>120</v>
      </c>
      <c r="J26" s="926">
        <v>580.62360655737712</v>
      </c>
      <c r="K26" s="1385">
        <f t="shared" si="1"/>
        <v>69674.83278688525</v>
      </c>
    </row>
    <row r="27" spans="1:11" ht="30.75" customHeight="1">
      <c r="A27" s="923">
        <v>33191</v>
      </c>
      <c r="B27" s="1387" t="s">
        <v>3747</v>
      </c>
      <c r="C27" s="1287" t="s">
        <v>3748</v>
      </c>
      <c r="D27" s="924" t="s">
        <v>3737</v>
      </c>
      <c r="E27" s="925" t="s">
        <v>3750</v>
      </c>
      <c r="F27" s="1390">
        <f>23+96</f>
        <v>119</v>
      </c>
      <c r="G27" s="1391">
        <f t="shared" si="0"/>
        <v>1867.9479831932772</v>
      </c>
      <c r="H27" s="1385">
        <f>43039.96+179245.85</f>
        <v>222285.81</v>
      </c>
      <c r="I27" s="1396">
        <v>120</v>
      </c>
      <c r="J27" s="926">
        <v>1867.9479831932772</v>
      </c>
      <c r="K27" s="1385">
        <f t="shared" si="1"/>
        <v>224153.75798319327</v>
      </c>
    </row>
    <row r="28" spans="1:11" ht="30.75" customHeight="1">
      <c r="A28" s="923">
        <v>33112</v>
      </c>
      <c r="B28" s="1387" t="s">
        <v>3751</v>
      </c>
      <c r="C28" s="1287" t="s">
        <v>3752</v>
      </c>
      <c r="D28" s="924" t="s">
        <v>3753</v>
      </c>
      <c r="E28" s="925" t="s">
        <v>3749</v>
      </c>
      <c r="F28" s="1390">
        <v>4</v>
      </c>
      <c r="G28" s="1391">
        <f t="shared" si="0"/>
        <v>324.05</v>
      </c>
      <c r="H28" s="1385">
        <v>1296.2</v>
      </c>
      <c r="I28" s="1396">
        <v>1</v>
      </c>
      <c r="J28" s="926">
        <v>324.05</v>
      </c>
      <c r="K28" s="1385">
        <f t="shared" si="1"/>
        <v>324.05</v>
      </c>
    </row>
    <row r="29" spans="1:11" ht="30.75" customHeight="1">
      <c r="A29" s="923">
        <v>33113</v>
      </c>
      <c r="B29" s="1387" t="s">
        <v>3751</v>
      </c>
      <c r="C29" s="1287" t="s">
        <v>3752</v>
      </c>
      <c r="D29" s="924" t="s">
        <v>3753</v>
      </c>
      <c r="E29" s="925" t="s">
        <v>3750</v>
      </c>
      <c r="F29" s="1390">
        <v>1</v>
      </c>
      <c r="G29" s="1391">
        <f t="shared" si="0"/>
        <v>1620.16</v>
      </c>
      <c r="H29" s="1385">
        <v>1620.16</v>
      </c>
      <c r="I29" s="1396">
        <v>1</v>
      </c>
      <c r="J29" s="926">
        <v>1620.16</v>
      </c>
      <c r="K29" s="1385">
        <f t="shared" si="1"/>
        <v>1620.16</v>
      </c>
    </row>
    <row r="30" spans="1:11" ht="30.75" customHeight="1">
      <c r="A30" s="923">
        <v>33121</v>
      </c>
      <c r="B30" s="1387" t="s">
        <v>3751</v>
      </c>
      <c r="C30" s="1287" t="s">
        <v>3754</v>
      </c>
      <c r="D30" s="924" t="s">
        <v>3755</v>
      </c>
      <c r="E30" s="925" t="s">
        <v>3744</v>
      </c>
      <c r="F30" s="1390"/>
      <c r="G30" s="1391"/>
      <c r="H30" s="1385"/>
      <c r="I30" s="1396">
        <v>1</v>
      </c>
      <c r="J30" s="926">
        <v>2760.6</v>
      </c>
      <c r="K30" s="1385">
        <f t="shared" si="1"/>
        <v>2760.6</v>
      </c>
    </row>
    <row r="31" spans="1:11" ht="30.75" customHeight="1">
      <c r="A31" s="923">
        <v>33122</v>
      </c>
      <c r="B31" s="1387" t="s">
        <v>3751</v>
      </c>
      <c r="C31" s="1287" t="s">
        <v>3754</v>
      </c>
      <c r="D31" s="924" t="s">
        <v>3755</v>
      </c>
      <c r="E31" s="925" t="s">
        <v>3738</v>
      </c>
      <c r="F31" s="1390">
        <v>2</v>
      </c>
      <c r="G31" s="1391">
        <f t="shared" si="0"/>
        <v>13643.08</v>
      </c>
      <c r="H31" s="1385">
        <v>27286.16</v>
      </c>
      <c r="I31" s="1396">
        <v>1</v>
      </c>
      <c r="J31" s="926">
        <v>13643.08</v>
      </c>
      <c r="K31" s="1385">
        <f t="shared" si="1"/>
        <v>13643.08</v>
      </c>
    </row>
    <row r="32" spans="1:11" ht="30.75" customHeight="1">
      <c r="A32" s="923" t="s">
        <v>4119</v>
      </c>
      <c r="B32" s="1387" t="s">
        <v>3756</v>
      </c>
      <c r="C32" s="1287" t="s">
        <v>3757</v>
      </c>
      <c r="D32" s="924" t="s">
        <v>3737</v>
      </c>
      <c r="E32" s="925" t="s">
        <v>3749</v>
      </c>
      <c r="F32" s="1390">
        <f>13+20+43</f>
        <v>76</v>
      </c>
      <c r="G32" s="1391">
        <f t="shared" si="0"/>
        <v>361.20947368421048</v>
      </c>
      <c r="H32" s="1385">
        <f>4714.71+7232.41+15504.8</f>
        <v>27451.919999999998</v>
      </c>
      <c r="I32" s="1396">
        <v>70</v>
      </c>
      <c r="J32" s="926">
        <v>361.20947368421048</v>
      </c>
      <c r="K32" s="1385">
        <f t="shared" si="1"/>
        <v>25284.663157894734</v>
      </c>
    </row>
    <row r="33" spans="1:11" ht="30.75" customHeight="1">
      <c r="A33" s="923" t="s">
        <v>4120</v>
      </c>
      <c r="B33" s="1387" t="s">
        <v>3756</v>
      </c>
      <c r="C33" s="1287" t="s">
        <v>3757</v>
      </c>
      <c r="D33" s="924" t="s">
        <v>3758</v>
      </c>
      <c r="E33" s="925" t="s">
        <v>3750</v>
      </c>
      <c r="F33" s="1390">
        <f>21+24</f>
        <v>45</v>
      </c>
      <c r="G33" s="1391">
        <f t="shared" si="0"/>
        <v>1419.0837777777779</v>
      </c>
      <c r="H33" s="1385">
        <f>5697.65+24126.65+34034.47</f>
        <v>63858.770000000004</v>
      </c>
      <c r="I33" s="1396">
        <v>40</v>
      </c>
      <c r="J33" s="926">
        <v>1419.0837777777779</v>
      </c>
      <c r="K33" s="1385">
        <f t="shared" si="1"/>
        <v>56763.351111111115</v>
      </c>
    </row>
    <row r="34" spans="1:11" ht="30.75" customHeight="1">
      <c r="A34" s="923" t="s">
        <v>4121</v>
      </c>
      <c r="B34" s="1387" t="s">
        <v>3759</v>
      </c>
      <c r="C34" s="1287" t="s">
        <v>3760</v>
      </c>
      <c r="D34" s="924" t="s">
        <v>3737</v>
      </c>
      <c r="E34" s="925" t="s">
        <v>3761</v>
      </c>
      <c r="F34" s="1390">
        <f>18+15</f>
        <v>33</v>
      </c>
      <c r="G34" s="1391">
        <f t="shared" si="0"/>
        <v>1654.4699999999998</v>
      </c>
      <c r="H34" s="1385">
        <f>25028.01+1641.72+3283.43+24644.35</f>
        <v>54597.509999999995</v>
      </c>
      <c r="I34" s="1396">
        <v>30</v>
      </c>
      <c r="J34" s="926">
        <v>1654.4699999999998</v>
      </c>
      <c r="K34" s="1385">
        <f t="shared" si="1"/>
        <v>49634.099999999991</v>
      </c>
    </row>
    <row r="35" spans="1:11" ht="30.75" customHeight="1">
      <c r="A35" s="923" t="s">
        <v>4122</v>
      </c>
      <c r="B35" s="1387" t="s">
        <v>3759</v>
      </c>
      <c r="C35" s="1287" t="s">
        <v>3760</v>
      </c>
      <c r="D35" s="924" t="s">
        <v>3737</v>
      </c>
      <c r="E35" s="925" t="s">
        <v>3762</v>
      </c>
      <c r="F35" s="1390">
        <f>8+13</f>
        <v>21</v>
      </c>
      <c r="G35" s="1391">
        <f t="shared" si="0"/>
        <v>5621.0895238095236</v>
      </c>
      <c r="H35" s="1385">
        <f>5621.09+11242.18+28105.45+73074.16</f>
        <v>118042.88</v>
      </c>
      <c r="I35" s="1396">
        <v>20</v>
      </c>
      <c r="J35" s="926">
        <v>5621.0895238095236</v>
      </c>
      <c r="K35" s="1385">
        <f t="shared" si="1"/>
        <v>112421.79047619048</v>
      </c>
    </row>
    <row r="36" spans="1:11" ht="30.75" customHeight="1">
      <c r="A36" s="923">
        <v>30242</v>
      </c>
      <c r="B36" s="1397" t="s">
        <v>4001</v>
      </c>
      <c r="C36" s="1287" t="s">
        <v>4002</v>
      </c>
      <c r="D36" s="924" t="s">
        <v>3696</v>
      </c>
      <c r="E36" s="925" t="s">
        <v>3750</v>
      </c>
      <c r="F36" s="1390">
        <v>8</v>
      </c>
      <c r="G36" s="1391">
        <f t="shared" si="0"/>
        <v>7053.2612499999996</v>
      </c>
      <c r="H36" s="1385">
        <v>56426.09</v>
      </c>
      <c r="I36" s="1396">
        <v>8</v>
      </c>
      <c r="J36" s="926">
        <v>7053.2612499999996</v>
      </c>
      <c r="K36" s="1385">
        <f t="shared" si="1"/>
        <v>56426.09</v>
      </c>
    </row>
    <row r="37" spans="1:11" ht="30.75" customHeight="1">
      <c r="A37" s="923" t="s">
        <v>4123</v>
      </c>
      <c r="B37" s="1397" t="s">
        <v>4001</v>
      </c>
      <c r="C37" s="1287" t="s">
        <v>4003</v>
      </c>
      <c r="D37" s="924" t="s">
        <v>3696</v>
      </c>
      <c r="E37" s="925" t="s">
        <v>3749</v>
      </c>
      <c r="F37" s="1390">
        <v>6</v>
      </c>
      <c r="G37" s="1391">
        <f t="shared" si="0"/>
        <v>1567.4133333333332</v>
      </c>
      <c r="H37" s="1385">
        <v>9404.48</v>
      </c>
      <c r="I37" s="1396">
        <v>6</v>
      </c>
      <c r="J37" s="926">
        <v>1567.4133333333332</v>
      </c>
      <c r="K37" s="1385">
        <f t="shared" si="1"/>
        <v>9404.48</v>
      </c>
    </row>
    <row r="38" spans="1:11" ht="30.75" customHeight="1">
      <c r="A38" s="923">
        <v>34180</v>
      </c>
      <c r="B38" s="1397" t="s">
        <v>3712</v>
      </c>
      <c r="C38" s="1287" t="s">
        <v>4004</v>
      </c>
      <c r="D38" s="924" t="s">
        <v>3696</v>
      </c>
      <c r="E38" s="925" t="s">
        <v>3750</v>
      </c>
      <c r="F38" s="1390">
        <f>11+60</f>
        <v>71</v>
      </c>
      <c r="G38" s="1391">
        <f t="shared" si="0"/>
        <v>387.38436619718311</v>
      </c>
      <c r="H38" s="1385">
        <f>5153.88+22350.41</f>
        <v>27504.29</v>
      </c>
      <c r="I38" s="1396">
        <v>70</v>
      </c>
      <c r="J38" s="926">
        <v>387.38436619718311</v>
      </c>
      <c r="K38" s="1385">
        <f t="shared" si="1"/>
        <v>27116.905633802817</v>
      </c>
    </row>
    <row r="39" spans="1:11" ht="30.75" customHeight="1">
      <c r="A39" s="923">
        <v>39297</v>
      </c>
      <c r="B39" s="1397" t="s">
        <v>4005</v>
      </c>
      <c r="C39" s="1287" t="s">
        <v>4006</v>
      </c>
      <c r="D39" s="924" t="s">
        <v>3696</v>
      </c>
      <c r="E39" s="925" t="s">
        <v>4007</v>
      </c>
      <c r="F39" s="1390">
        <v>12</v>
      </c>
      <c r="G39" s="1391">
        <f t="shared" si="0"/>
        <v>643.5</v>
      </c>
      <c r="H39" s="1385">
        <v>7722</v>
      </c>
      <c r="I39" s="1396">
        <v>10</v>
      </c>
      <c r="J39" s="926">
        <v>643.5</v>
      </c>
      <c r="K39" s="1385">
        <f t="shared" si="1"/>
        <v>6435</v>
      </c>
    </row>
    <row r="40" spans="1:11" ht="30.75" customHeight="1">
      <c r="A40" s="923">
        <v>39298</v>
      </c>
      <c r="B40" s="1397" t="s">
        <v>4005</v>
      </c>
      <c r="C40" s="1287" t="s">
        <v>4006</v>
      </c>
      <c r="D40" s="924" t="s">
        <v>3696</v>
      </c>
      <c r="E40" s="925" t="s">
        <v>3738</v>
      </c>
      <c r="F40" s="1390">
        <v>41</v>
      </c>
      <c r="G40" s="1391">
        <f t="shared" si="0"/>
        <v>963.50975609756097</v>
      </c>
      <c r="H40" s="1385">
        <f>1935.9+37568</f>
        <v>39503.9</v>
      </c>
      <c r="I40" s="1396">
        <v>40</v>
      </c>
      <c r="J40" s="926">
        <v>963.50975609756097</v>
      </c>
      <c r="K40" s="1385">
        <f t="shared" si="1"/>
        <v>38540.390243902439</v>
      </c>
    </row>
    <row r="41" spans="1:11" ht="30.75" customHeight="1">
      <c r="A41" s="923">
        <v>39031</v>
      </c>
      <c r="B41" s="1397" t="s">
        <v>4008</v>
      </c>
      <c r="C41" s="1287" t="s">
        <v>4009</v>
      </c>
      <c r="D41" s="924" t="s">
        <v>3696</v>
      </c>
      <c r="E41" s="925" t="s">
        <v>4010</v>
      </c>
      <c r="F41" s="1390">
        <v>4</v>
      </c>
      <c r="G41" s="1391">
        <f t="shared" si="0"/>
        <v>5766.97</v>
      </c>
      <c r="H41" s="1385">
        <v>23067.88</v>
      </c>
      <c r="I41" s="1396">
        <v>4</v>
      </c>
      <c r="J41" s="926">
        <v>5766.97</v>
      </c>
      <c r="K41" s="1385">
        <f t="shared" si="1"/>
        <v>23067.88</v>
      </c>
    </row>
    <row r="42" spans="1:11" ht="30.75" customHeight="1">
      <c r="A42" s="923">
        <v>39032</v>
      </c>
      <c r="B42" s="1397" t="s">
        <v>4008</v>
      </c>
      <c r="C42" s="1287" t="s">
        <v>4009</v>
      </c>
      <c r="D42" s="924" t="s">
        <v>3696</v>
      </c>
      <c r="E42" s="925" t="s">
        <v>3738</v>
      </c>
      <c r="F42" s="1390">
        <v>1</v>
      </c>
      <c r="G42" s="1391">
        <f t="shared" si="0"/>
        <v>1105.67</v>
      </c>
      <c r="H42" s="1385">
        <v>1105.67</v>
      </c>
      <c r="I42" s="1396">
        <v>1</v>
      </c>
      <c r="J42" s="926">
        <v>1105.67</v>
      </c>
      <c r="K42" s="1385">
        <f t="shared" si="1"/>
        <v>1105.67</v>
      </c>
    </row>
    <row r="43" spans="1:11" ht="30.75" customHeight="1">
      <c r="A43" s="923">
        <v>37070</v>
      </c>
      <c r="B43" s="1397" t="s">
        <v>4011</v>
      </c>
      <c r="C43" s="1287" t="s">
        <v>4012</v>
      </c>
      <c r="D43" s="924" t="s">
        <v>3696</v>
      </c>
      <c r="E43" s="925" t="s">
        <v>4013</v>
      </c>
      <c r="F43" s="1390">
        <f>6+42</f>
        <v>48</v>
      </c>
      <c r="G43" s="1391">
        <f t="shared" si="0"/>
        <v>10910.133125</v>
      </c>
      <c r="H43" s="1398">
        <f>66355.62+457330.77</f>
        <v>523686.39</v>
      </c>
      <c r="I43" s="1396">
        <v>45</v>
      </c>
      <c r="J43" s="926">
        <v>10910.133125</v>
      </c>
      <c r="K43" s="1385">
        <f t="shared" si="1"/>
        <v>490955.99062500003</v>
      </c>
    </row>
    <row r="44" spans="1:11" ht="30.75" customHeight="1">
      <c r="A44" s="923" t="s">
        <v>4124</v>
      </c>
      <c r="B44" s="1387" t="s">
        <v>3763</v>
      </c>
      <c r="C44" s="1287" t="s">
        <v>3764</v>
      </c>
      <c r="D44" s="924" t="s">
        <v>3737</v>
      </c>
      <c r="E44" s="925" t="s">
        <v>3750</v>
      </c>
      <c r="F44" s="1390">
        <f>20+8+39+3</f>
        <v>70</v>
      </c>
      <c r="G44" s="1391">
        <f t="shared" si="0"/>
        <v>1111.0074285714286</v>
      </c>
      <c r="H44" s="1385">
        <f>20344.27+1408.47+8566+41759.28+5692.5</f>
        <v>77770.52</v>
      </c>
      <c r="I44" s="1396">
        <v>70</v>
      </c>
      <c r="J44" s="926">
        <v>1111.0074285714286</v>
      </c>
      <c r="K44" s="1385">
        <f t="shared" si="1"/>
        <v>77770.52</v>
      </c>
    </row>
    <row r="45" spans="1:11" ht="30.75" customHeight="1">
      <c r="A45" s="923" t="s">
        <v>4125</v>
      </c>
      <c r="B45" s="1387" t="s">
        <v>3763</v>
      </c>
      <c r="C45" s="1287" t="s">
        <v>3764</v>
      </c>
      <c r="D45" s="924" t="s">
        <v>3737</v>
      </c>
      <c r="E45" s="925" t="s">
        <v>3738</v>
      </c>
      <c r="F45" s="1390">
        <f>27+15+35+2</f>
        <v>79</v>
      </c>
      <c r="G45" s="1391">
        <f t="shared" si="0"/>
        <v>1993.7215189873418</v>
      </c>
      <c r="H45" s="1385">
        <f>7759.56+44617.56+29098.42+67896.29+8132.17</f>
        <v>157504</v>
      </c>
      <c r="I45" s="1396">
        <v>70</v>
      </c>
      <c r="J45" s="926">
        <v>1993.7215189873418</v>
      </c>
      <c r="K45" s="1385">
        <f t="shared" si="1"/>
        <v>139560.50632911394</v>
      </c>
    </row>
    <row r="46" spans="1:11" ht="30.75" customHeight="1">
      <c r="A46" s="1399">
        <v>37022</v>
      </c>
      <c r="B46" s="1400" t="s">
        <v>4126</v>
      </c>
      <c r="C46" s="1401" t="s">
        <v>4127</v>
      </c>
      <c r="D46" s="1402" t="s">
        <v>3696</v>
      </c>
      <c r="E46" s="1403" t="s">
        <v>4128</v>
      </c>
      <c r="F46" s="1390">
        <v>2</v>
      </c>
      <c r="G46" s="1391">
        <f t="shared" si="0"/>
        <v>58816.23</v>
      </c>
      <c r="H46" s="1385">
        <v>117632.46</v>
      </c>
      <c r="I46" s="1404">
        <v>2</v>
      </c>
      <c r="J46" s="1405">
        <v>58816.23</v>
      </c>
      <c r="K46" s="1385">
        <f t="shared" si="1"/>
        <v>117632.46</v>
      </c>
    </row>
    <row r="47" spans="1:11" ht="30.75" customHeight="1" thickBot="1">
      <c r="A47" s="927">
        <v>184027</v>
      </c>
      <c r="B47" s="1406" t="s">
        <v>3765</v>
      </c>
      <c r="C47" s="928" t="s">
        <v>3766</v>
      </c>
      <c r="D47" s="929" t="s">
        <v>3767</v>
      </c>
      <c r="E47" s="930" t="s">
        <v>3750</v>
      </c>
      <c r="F47" s="1407">
        <f>41+156</f>
        <v>197</v>
      </c>
      <c r="G47" s="1408">
        <f t="shared" si="0"/>
        <v>188.36289340101524</v>
      </c>
      <c r="H47" s="1409">
        <f>7883.16+29224.33</f>
        <v>37107.490000000005</v>
      </c>
      <c r="I47" s="1410">
        <v>200</v>
      </c>
      <c r="J47" s="931">
        <v>188.36289340101524</v>
      </c>
      <c r="K47" s="1385">
        <f t="shared" si="1"/>
        <v>37672.578680203049</v>
      </c>
    </row>
    <row r="48" spans="1:11">
      <c r="A48" s="1411" t="s">
        <v>3768</v>
      </c>
      <c r="B48" s="1412"/>
      <c r="C48" s="1412"/>
      <c r="D48" s="1412"/>
      <c r="E48" s="1412"/>
      <c r="F48" s="1412"/>
      <c r="G48" s="1412"/>
      <c r="H48" s="1412"/>
      <c r="I48" s="1412"/>
      <c r="J48" s="1413"/>
      <c r="K48" s="1414"/>
    </row>
    <row r="49" spans="1:11" ht="16.5" thickBot="1">
      <c r="A49" s="1415" t="s">
        <v>81</v>
      </c>
      <c r="B49" s="1416"/>
      <c r="C49" s="1416"/>
      <c r="D49" s="1416"/>
      <c r="E49" s="1416"/>
      <c r="F49" s="1416"/>
      <c r="G49" s="1416"/>
      <c r="H49" s="1416"/>
      <c r="I49" s="1416"/>
      <c r="J49" s="1417"/>
      <c r="K49" s="1418"/>
    </row>
    <row r="50" spans="1:11" ht="22.5" customHeight="1" thickBot="1">
      <c r="A50" s="1936" t="s">
        <v>3769</v>
      </c>
      <c r="B50" s="1937"/>
      <c r="C50" s="1937"/>
      <c r="D50" s="1937"/>
      <c r="E50" s="1937"/>
      <c r="F50" s="1937"/>
      <c r="G50" s="1938"/>
      <c r="H50" s="1419">
        <f>SUM(H51:H64)</f>
        <v>28632558.599999994</v>
      </c>
      <c r="I50" s="1420"/>
      <c r="J50" s="1421"/>
      <c r="K50" s="1419">
        <f>SUM(K51:K64)</f>
        <v>28237934.999999996</v>
      </c>
    </row>
    <row r="51" spans="1:11" ht="21.75" customHeight="1">
      <c r="A51" s="1422" t="s">
        <v>67</v>
      </c>
      <c r="B51" s="1922" t="s">
        <v>112</v>
      </c>
      <c r="C51" s="1923"/>
      <c r="D51" s="1923"/>
      <c r="E51" s="1923"/>
      <c r="F51" s="1923"/>
      <c r="G51" s="1924"/>
      <c r="H51" s="1423">
        <f>552091.33+2412805.31</f>
        <v>2964896.64</v>
      </c>
      <c r="I51" s="1424"/>
      <c r="J51" s="1425"/>
      <c r="K51" s="1426">
        <v>2964893.25</v>
      </c>
    </row>
    <row r="52" spans="1:11" ht="21.75" customHeight="1">
      <c r="A52" s="1422" t="s">
        <v>68</v>
      </c>
      <c r="B52" s="1922" t="s">
        <v>296</v>
      </c>
      <c r="C52" s="1923"/>
      <c r="D52" s="1923"/>
      <c r="E52" s="1923"/>
      <c r="F52" s="1923"/>
      <c r="G52" s="1924"/>
      <c r="H52" s="1391">
        <f>2448472.41+8975307.38+5699.9+2067.78-476297.89</f>
        <v>10955249.58</v>
      </c>
      <c r="I52" s="1424"/>
      <c r="J52" s="1425"/>
      <c r="K52" s="1426">
        <v>10952251.119999999</v>
      </c>
    </row>
    <row r="53" spans="1:11" ht="18.75" customHeight="1">
      <c r="A53" s="1422" t="s">
        <v>69</v>
      </c>
      <c r="B53" s="1922" t="s">
        <v>114</v>
      </c>
      <c r="C53" s="1923"/>
      <c r="D53" s="1923"/>
      <c r="E53" s="1923"/>
      <c r="F53" s="1923"/>
      <c r="G53" s="1924"/>
      <c r="H53" s="1391">
        <f>200873.48+675542.51</f>
        <v>876415.99</v>
      </c>
      <c r="I53" s="1424"/>
      <c r="J53" s="1425"/>
      <c r="K53" s="1426">
        <v>876114.62</v>
      </c>
    </row>
    <row r="54" spans="1:11" ht="16.5" customHeight="1">
      <c r="A54" s="1422" t="s">
        <v>70</v>
      </c>
      <c r="B54" s="1922" t="s">
        <v>115</v>
      </c>
      <c r="C54" s="1923"/>
      <c r="D54" s="1923"/>
      <c r="E54" s="1923"/>
      <c r="F54" s="1923"/>
      <c r="G54" s="1924"/>
      <c r="H54" s="1391">
        <f>33335.03+162271.74</f>
        <v>195606.77</v>
      </c>
      <c r="I54" s="1424"/>
      <c r="J54" s="1425"/>
      <c r="K54" s="1426">
        <v>195600.95</v>
      </c>
    </row>
    <row r="55" spans="1:11" ht="16.5" customHeight="1">
      <c r="A55" s="1422" t="s">
        <v>71</v>
      </c>
      <c r="B55" s="1922" t="s">
        <v>113</v>
      </c>
      <c r="C55" s="1923"/>
      <c r="D55" s="1923"/>
      <c r="E55" s="1923"/>
      <c r="F55" s="1923"/>
      <c r="G55" s="1924"/>
      <c r="H55" s="1391">
        <f>27519.48+52815.8</f>
        <v>80335.28</v>
      </c>
      <c r="I55" s="1424"/>
      <c r="J55" s="1425"/>
      <c r="K55" s="1426">
        <v>79721.289999999994</v>
      </c>
    </row>
    <row r="56" spans="1:11">
      <c r="A56" s="1422" t="s">
        <v>72</v>
      </c>
      <c r="B56" s="1922" t="s">
        <v>85</v>
      </c>
      <c r="C56" s="1923"/>
      <c r="D56" s="1923"/>
      <c r="E56" s="1923"/>
      <c r="F56" s="1923"/>
      <c r="G56" s="1924"/>
      <c r="H56" s="1391">
        <f>452378.48+1240355.81</f>
        <v>1692734.29</v>
      </c>
      <c r="I56" s="1424"/>
      <c r="J56" s="1425"/>
      <c r="K56" s="1426">
        <v>1568969.27</v>
      </c>
    </row>
    <row r="57" spans="1:11" ht="17.25" customHeight="1">
      <c r="A57" s="1422" t="s">
        <v>73</v>
      </c>
      <c r="B57" s="1922" t="s">
        <v>82</v>
      </c>
      <c r="C57" s="1923"/>
      <c r="D57" s="1923"/>
      <c r="E57" s="1923"/>
      <c r="F57" s="1923"/>
      <c r="G57" s="1924"/>
      <c r="H57" s="1391">
        <f>1684521.99+7073213.88-400000-1855.29</f>
        <v>8355880.5799999991</v>
      </c>
      <c r="I57" s="1424"/>
      <c r="J57" s="1425"/>
      <c r="K57" s="1426">
        <v>8058900.4400000004</v>
      </c>
    </row>
    <row r="58" spans="1:11" ht="18" customHeight="1">
      <c r="A58" s="1422" t="s">
        <v>74</v>
      </c>
      <c r="B58" s="1922" t="s">
        <v>83</v>
      </c>
      <c r="C58" s="1923"/>
      <c r="D58" s="1923"/>
      <c r="E58" s="1923"/>
      <c r="F58" s="1923"/>
      <c r="G58" s="1924"/>
      <c r="H58" s="1391">
        <f>4610.15+58245.25</f>
        <v>62855.4</v>
      </c>
      <c r="I58" s="1424"/>
      <c r="J58" s="1425"/>
      <c r="K58" s="1426">
        <v>62855.4</v>
      </c>
    </row>
    <row r="59" spans="1:11" ht="13.5" customHeight="1">
      <c r="A59" s="1422" t="s">
        <v>75</v>
      </c>
      <c r="B59" s="1922" t="s">
        <v>116</v>
      </c>
      <c r="C59" s="1923"/>
      <c r="D59" s="1923"/>
      <c r="E59" s="1923"/>
      <c r="F59" s="1923"/>
      <c r="G59" s="1924"/>
      <c r="H59" s="1391">
        <f>160673.21+729149.56</f>
        <v>889822.77</v>
      </c>
      <c r="I59" s="1424"/>
      <c r="J59" s="1425"/>
      <c r="K59" s="1426">
        <v>808090.95</v>
      </c>
    </row>
    <row r="60" spans="1:11" ht="19.5" customHeight="1">
      <c r="A60" s="1422" t="s">
        <v>76</v>
      </c>
      <c r="B60" s="1922" t="s">
        <v>111</v>
      </c>
      <c r="C60" s="1923"/>
      <c r="D60" s="1923"/>
      <c r="E60" s="1923"/>
      <c r="F60" s="1923"/>
      <c r="G60" s="1924"/>
      <c r="H60" s="1391">
        <f>366207.85+1411226.36+15968.42</f>
        <v>1793402.63</v>
      </c>
      <c r="I60" s="1424"/>
      <c r="J60" s="1425"/>
      <c r="K60" s="1426">
        <v>1791056.48</v>
      </c>
    </row>
    <row r="61" spans="1:11" ht="24.75" customHeight="1">
      <c r="A61" s="1422" t="s">
        <v>77</v>
      </c>
      <c r="B61" s="1925" t="s">
        <v>86</v>
      </c>
      <c r="C61" s="1926"/>
      <c r="D61" s="1926"/>
      <c r="E61" s="1926"/>
      <c r="F61" s="1926"/>
      <c r="G61" s="1927"/>
      <c r="H61" s="1427"/>
      <c r="I61" s="1424"/>
      <c r="J61" s="1428"/>
      <c r="K61" s="1426"/>
    </row>
    <row r="62" spans="1:11" ht="20.25" customHeight="1">
      <c r="A62" s="1422" t="s">
        <v>78</v>
      </c>
      <c r="B62" s="1922" t="s">
        <v>117</v>
      </c>
      <c r="C62" s="1923"/>
      <c r="D62" s="1923"/>
      <c r="E62" s="1923"/>
      <c r="F62" s="1923"/>
      <c r="G62" s="1924"/>
      <c r="H62" s="1391">
        <f>52898.85+206163.46</f>
        <v>259062.31</v>
      </c>
      <c r="I62" s="1424"/>
      <c r="J62" s="1428"/>
      <c r="K62" s="1426">
        <v>260262.14</v>
      </c>
    </row>
    <row r="63" spans="1:11" ht="21.75" customHeight="1">
      <c r="A63" s="1422" t="s">
        <v>79</v>
      </c>
      <c r="B63" s="1922" t="s">
        <v>118</v>
      </c>
      <c r="C63" s="1923"/>
      <c r="D63" s="1923"/>
      <c r="E63" s="1923"/>
      <c r="F63" s="1923"/>
      <c r="G63" s="1924"/>
      <c r="H63" s="1391">
        <f>10272.64+8738.76</f>
        <v>19011.400000000001</v>
      </c>
      <c r="I63" s="1424"/>
      <c r="J63" s="1428"/>
      <c r="K63" s="1426">
        <v>26884.66</v>
      </c>
    </row>
    <row r="64" spans="1:11" ht="24.75" customHeight="1" thickBot="1">
      <c r="A64" s="1422" t="s">
        <v>80</v>
      </c>
      <c r="B64" s="1922" t="s">
        <v>84</v>
      </c>
      <c r="C64" s="1923"/>
      <c r="D64" s="1923"/>
      <c r="E64" s="1923"/>
      <c r="F64" s="1923"/>
      <c r="G64" s="1924"/>
      <c r="H64" s="1429">
        <f>19265.73+49246.66+289169.39+129603.18</f>
        <v>487284.96</v>
      </c>
      <c r="I64" s="1424"/>
      <c r="J64" s="1428"/>
      <c r="K64" s="1426">
        <v>592334.43000000005</v>
      </c>
    </row>
    <row r="65" spans="1:12" ht="20.25" customHeight="1" thickBot="1">
      <c r="A65" s="1430" t="s">
        <v>87</v>
      </c>
      <c r="B65" s="1431"/>
      <c r="C65" s="1431"/>
      <c r="D65" s="1431"/>
      <c r="E65" s="1431"/>
      <c r="F65" s="1432"/>
      <c r="G65" s="1433"/>
      <c r="H65" s="1434">
        <f>H6+H50</f>
        <v>37116342.849999994</v>
      </c>
      <c r="I65" s="1435"/>
      <c r="J65" s="1436"/>
      <c r="K65" s="1434">
        <f>K6+K50</f>
        <v>36559929.574367508</v>
      </c>
    </row>
    <row r="66" spans="1:12" ht="13.5" customHeight="1">
      <c r="A66" s="1438"/>
      <c r="B66" s="1439"/>
      <c r="C66" s="1439"/>
      <c r="D66" s="1439"/>
      <c r="E66" s="1439"/>
      <c r="F66" s="1439"/>
      <c r="G66" s="1439"/>
      <c r="H66" s="1439"/>
      <c r="I66" s="1439"/>
      <c r="J66" s="1438"/>
      <c r="K66" s="1439"/>
    </row>
    <row r="67" spans="1:12" ht="13.5" customHeight="1">
      <c r="H67" s="1441"/>
      <c r="K67" s="1441"/>
    </row>
    <row r="68" spans="1:12" s="1443" customFormat="1" ht="13.5" customHeight="1">
      <c r="A68" s="1442"/>
      <c r="D68" s="1928" t="s">
        <v>4129</v>
      </c>
      <c r="E68" s="1929"/>
      <c r="F68" s="1444">
        <v>8022000</v>
      </c>
      <c r="J68" s="1442"/>
      <c r="L68" s="1364"/>
    </row>
    <row r="69" spans="1:12" s="1443" customFormat="1">
      <c r="A69" s="1442"/>
      <c r="D69" s="1921" t="s">
        <v>4130</v>
      </c>
      <c r="E69" s="1921"/>
      <c r="F69" s="1445">
        <v>28238000</v>
      </c>
      <c r="J69" s="1442"/>
      <c r="K69" s="1446"/>
      <c r="L69" s="1364"/>
    </row>
  </sheetData>
  <mergeCells count="28">
    <mergeCell ref="A1:G1"/>
    <mergeCell ref="A2:G2"/>
    <mergeCell ref="A3:B3"/>
    <mergeCell ref="A4:A5"/>
    <mergeCell ref="B4:B5"/>
    <mergeCell ref="C4:C5"/>
    <mergeCell ref="D4:D5"/>
    <mergeCell ref="E4:E5"/>
    <mergeCell ref="F4:H4"/>
    <mergeCell ref="B59:G59"/>
    <mergeCell ref="I4:K4"/>
    <mergeCell ref="A6:G6"/>
    <mergeCell ref="A50:G50"/>
    <mergeCell ref="B51:G51"/>
    <mergeCell ref="B52:G52"/>
    <mergeCell ref="B53:G53"/>
    <mergeCell ref="B54:G54"/>
    <mergeCell ref="B55:G55"/>
    <mergeCell ref="B56:G56"/>
    <mergeCell ref="B57:G57"/>
    <mergeCell ref="B58:G58"/>
    <mergeCell ref="D69:E69"/>
    <mergeCell ref="B60:G60"/>
    <mergeCell ref="B61:G61"/>
    <mergeCell ref="B62:G62"/>
    <mergeCell ref="B63:G63"/>
    <mergeCell ref="B64:G64"/>
    <mergeCell ref="D68:E68"/>
  </mergeCells>
  <pageMargins left="0.23622047244094499" right="0.23622047244094499" top="0.74803149606299202" bottom="0.74803149606299202" header="0.31496062992126" footer="0.31496062992126"/>
  <pageSetup paperSize="9" scale="70" fitToHeight="0" orientation="landscape" errors="blank" verticalDpi="1200" r:id="rId1"/>
  <headerFooter alignWithMargins="0">
    <oddFooter>&amp;R &amp;P</oddFooter>
  </headerFooter>
  <rowBreaks count="2" manualBreakCount="2">
    <brk id="24" max="10" man="1"/>
    <brk id="49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SheetLayoutView="100" workbookViewId="0">
      <selection activeCell="K64" sqref="K64"/>
    </sheetView>
  </sheetViews>
  <sheetFormatPr defaultRowHeight="11.25"/>
  <cols>
    <col min="1" max="1" width="20" style="1593" customWidth="1"/>
    <col min="2" max="2" width="33.28515625" style="1593" customWidth="1"/>
    <col min="3" max="3" width="16" style="1593" bestFit="1" customWidth="1"/>
    <col min="4" max="4" width="13.85546875" style="1593" bestFit="1" customWidth="1"/>
    <col min="5" max="5" width="14.42578125" style="1593" customWidth="1"/>
    <col min="6" max="6" width="11" style="1599" customWidth="1"/>
    <col min="7" max="7" width="8.5703125" style="1600" customWidth="1"/>
    <col min="8" max="8" width="14.85546875" style="1448" bestFit="1" customWidth="1"/>
    <col min="9" max="9" width="12.7109375" style="1448" customWidth="1"/>
    <col min="10" max="10" width="10.28515625" style="1599" customWidth="1"/>
    <col min="11" max="256" width="9.140625" style="1448"/>
    <col min="257" max="257" width="20" style="1448" customWidth="1"/>
    <col min="258" max="258" width="33.28515625" style="1448" customWidth="1"/>
    <col min="259" max="259" width="16" style="1448" bestFit="1" customWidth="1"/>
    <col min="260" max="260" width="13.42578125" style="1448" bestFit="1" customWidth="1"/>
    <col min="261" max="261" width="14.42578125" style="1448" customWidth="1"/>
    <col min="262" max="262" width="11" style="1448" customWidth="1"/>
    <col min="263" max="263" width="8.5703125" style="1448" customWidth="1"/>
    <col min="264" max="264" width="14.85546875" style="1448" bestFit="1" customWidth="1"/>
    <col min="265" max="265" width="12.7109375" style="1448" customWidth="1"/>
    <col min="266" max="266" width="10.28515625" style="1448" customWidth="1"/>
    <col min="267" max="512" width="9.140625" style="1448"/>
    <col min="513" max="513" width="20" style="1448" customWidth="1"/>
    <col min="514" max="514" width="33.28515625" style="1448" customWidth="1"/>
    <col min="515" max="515" width="16" style="1448" bestFit="1" customWidth="1"/>
    <col min="516" max="516" width="13.42578125" style="1448" bestFit="1" customWidth="1"/>
    <col min="517" max="517" width="14.42578125" style="1448" customWidth="1"/>
    <col min="518" max="518" width="11" style="1448" customWidth="1"/>
    <col min="519" max="519" width="8.5703125" style="1448" customWidth="1"/>
    <col min="520" max="520" width="14.85546875" style="1448" bestFit="1" customWidth="1"/>
    <col min="521" max="521" width="12.7109375" style="1448" customWidth="1"/>
    <col min="522" max="522" width="10.28515625" style="1448" customWidth="1"/>
    <col min="523" max="768" width="9.140625" style="1448"/>
    <col min="769" max="769" width="20" style="1448" customWidth="1"/>
    <col min="770" max="770" width="33.28515625" style="1448" customWidth="1"/>
    <col min="771" max="771" width="16" style="1448" bestFit="1" customWidth="1"/>
    <col min="772" max="772" width="13.42578125" style="1448" bestFit="1" customWidth="1"/>
    <col min="773" max="773" width="14.42578125" style="1448" customWidth="1"/>
    <col min="774" max="774" width="11" style="1448" customWidth="1"/>
    <col min="775" max="775" width="8.5703125" style="1448" customWidth="1"/>
    <col min="776" max="776" width="14.85546875" style="1448" bestFit="1" customWidth="1"/>
    <col min="777" max="777" width="12.7109375" style="1448" customWidth="1"/>
    <col min="778" max="778" width="10.28515625" style="1448" customWidth="1"/>
    <col min="779" max="1024" width="9.140625" style="1448"/>
    <col min="1025" max="1025" width="20" style="1448" customWidth="1"/>
    <col min="1026" max="1026" width="33.28515625" style="1448" customWidth="1"/>
    <col min="1027" max="1027" width="16" style="1448" bestFit="1" customWidth="1"/>
    <col min="1028" max="1028" width="13.42578125" style="1448" bestFit="1" customWidth="1"/>
    <col min="1029" max="1029" width="14.42578125" style="1448" customWidth="1"/>
    <col min="1030" max="1030" width="11" style="1448" customWidth="1"/>
    <col min="1031" max="1031" width="8.5703125" style="1448" customWidth="1"/>
    <col min="1032" max="1032" width="14.85546875" style="1448" bestFit="1" customWidth="1"/>
    <col min="1033" max="1033" width="12.7109375" style="1448" customWidth="1"/>
    <col min="1034" max="1034" width="10.28515625" style="1448" customWidth="1"/>
    <col min="1035" max="1280" width="9.140625" style="1448"/>
    <col min="1281" max="1281" width="20" style="1448" customWidth="1"/>
    <col min="1282" max="1282" width="33.28515625" style="1448" customWidth="1"/>
    <col min="1283" max="1283" width="16" style="1448" bestFit="1" customWidth="1"/>
    <col min="1284" max="1284" width="13.42578125" style="1448" bestFit="1" customWidth="1"/>
    <col min="1285" max="1285" width="14.42578125" style="1448" customWidth="1"/>
    <col min="1286" max="1286" width="11" style="1448" customWidth="1"/>
    <col min="1287" max="1287" width="8.5703125" style="1448" customWidth="1"/>
    <col min="1288" max="1288" width="14.85546875" style="1448" bestFit="1" customWidth="1"/>
    <col min="1289" max="1289" width="12.7109375" style="1448" customWidth="1"/>
    <col min="1290" max="1290" width="10.28515625" style="1448" customWidth="1"/>
    <col min="1291" max="1536" width="9.140625" style="1448"/>
    <col min="1537" max="1537" width="20" style="1448" customWidth="1"/>
    <col min="1538" max="1538" width="33.28515625" style="1448" customWidth="1"/>
    <col min="1539" max="1539" width="16" style="1448" bestFit="1" customWidth="1"/>
    <col min="1540" max="1540" width="13.42578125" style="1448" bestFit="1" customWidth="1"/>
    <col min="1541" max="1541" width="14.42578125" style="1448" customWidth="1"/>
    <col min="1542" max="1542" width="11" style="1448" customWidth="1"/>
    <col min="1543" max="1543" width="8.5703125" style="1448" customWidth="1"/>
    <col min="1544" max="1544" width="14.85546875" style="1448" bestFit="1" customWidth="1"/>
    <col min="1545" max="1545" width="12.7109375" style="1448" customWidth="1"/>
    <col min="1546" max="1546" width="10.28515625" style="1448" customWidth="1"/>
    <col min="1547" max="1792" width="9.140625" style="1448"/>
    <col min="1793" max="1793" width="20" style="1448" customWidth="1"/>
    <col min="1794" max="1794" width="33.28515625" style="1448" customWidth="1"/>
    <col min="1795" max="1795" width="16" style="1448" bestFit="1" customWidth="1"/>
    <col min="1796" max="1796" width="13.42578125" style="1448" bestFit="1" customWidth="1"/>
    <col min="1797" max="1797" width="14.42578125" style="1448" customWidth="1"/>
    <col min="1798" max="1798" width="11" style="1448" customWidth="1"/>
    <col min="1799" max="1799" width="8.5703125" style="1448" customWidth="1"/>
    <col min="1800" max="1800" width="14.85546875" style="1448" bestFit="1" customWidth="1"/>
    <col min="1801" max="1801" width="12.7109375" style="1448" customWidth="1"/>
    <col min="1802" max="1802" width="10.28515625" style="1448" customWidth="1"/>
    <col min="1803" max="2048" width="9.140625" style="1448"/>
    <col min="2049" max="2049" width="20" style="1448" customWidth="1"/>
    <col min="2050" max="2050" width="33.28515625" style="1448" customWidth="1"/>
    <col min="2051" max="2051" width="16" style="1448" bestFit="1" customWidth="1"/>
    <col min="2052" max="2052" width="13.42578125" style="1448" bestFit="1" customWidth="1"/>
    <col min="2053" max="2053" width="14.42578125" style="1448" customWidth="1"/>
    <col min="2054" max="2054" width="11" style="1448" customWidth="1"/>
    <col min="2055" max="2055" width="8.5703125" style="1448" customWidth="1"/>
    <col min="2056" max="2056" width="14.85546875" style="1448" bestFit="1" customWidth="1"/>
    <col min="2057" max="2057" width="12.7109375" style="1448" customWidth="1"/>
    <col min="2058" max="2058" width="10.28515625" style="1448" customWidth="1"/>
    <col min="2059" max="2304" width="9.140625" style="1448"/>
    <col min="2305" max="2305" width="20" style="1448" customWidth="1"/>
    <col min="2306" max="2306" width="33.28515625" style="1448" customWidth="1"/>
    <col min="2307" max="2307" width="16" style="1448" bestFit="1" customWidth="1"/>
    <col min="2308" max="2308" width="13.42578125" style="1448" bestFit="1" customWidth="1"/>
    <col min="2309" max="2309" width="14.42578125" style="1448" customWidth="1"/>
    <col min="2310" max="2310" width="11" style="1448" customWidth="1"/>
    <col min="2311" max="2311" width="8.5703125" style="1448" customWidth="1"/>
    <col min="2312" max="2312" width="14.85546875" style="1448" bestFit="1" customWidth="1"/>
    <col min="2313" max="2313" width="12.7109375" style="1448" customWidth="1"/>
    <col min="2314" max="2314" width="10.28515625" style="1448" customWidth="1"/>
    <col min="2315" max="2560" width="9.140625" style="1448"/>
    <col min="2561" max="2561" width="20" style="1448" customWidth="1"/>
    <col min="2562" max="2562" width="33.28515625" style="1448" customWidth="1"/>
    <col min="2563" max="2563" width="16" style="1448" bestFit="1" customWidth="1"/>
    <col min="2564" max="2564" width="13.42578125" style="1448" bestFit="1" customWidth="1"/>
    <col min="2565" max="2565" width="14.42578125" style="1448" customWidth="1"/>
    <col min="2566" max="2566" width="11" style="1448" customWidth="1"/>
    <col min="2567" max="2567" width="8.5703125" style="1448" customWidth="1"/>
    <col min="2568" max="2568" width="14.85546875" style="1448" bestFit="1" customWidth="1"/>
    <col min="2569" max="2569" width="12.7109375" style="1448" customWidth="1"/>
    <col min="2570" max="2570" width="10.28515625" style="1448" customWidth="1"/>
    <col min="2571" max="2816" width="9.140625" style="1448"/>
    <col min="2817" max="2817" width="20" style="1448" customWidth="1"/>
    <col min="2818" max="2818" width="33.28515625" style="1448" customWidth="1"/>
    <col min="2819" max="2819" width="16" style="1448" bestFit="1" customWidth="1"/>
    <col min="2820" max="2820" width="13.42578125" style="1448" bestFit="1" customWidth="1"/>
    <col min="2821" max="2821" width="14.42578125" style="1448" customWidth="1"/>
    <col min="2822" max="2822" width="11" style="1448" customWidth="1"/>
    <col min="2823" max="2823" width="8.5703125" style="1448" customWidth="1"/>
    <col min="2824" max="2824" width="14.85546875" style="1448" bestFit="1" customWidth="1"/>
    <col min="2825" max="2825" width="12.7109375" style="1448" customWidth="1"/>
    <col min="2826" max="2826" width="10.28515625" style="1448" customWidth="1"/>
    <col min="2827" max="3072" width="9.140625" style="1448"/>
    <col min="3073" max="3073" width="20" style="1448" customWidth="1"/>
    <col min="3074" max="3074" width="33.28515625" style="1448" customWidth="1"/>
    <col min="3075" max="3075" width="16" style="1448" bestFit="1" customWidth="1"/>
    <col min="3076" max="3076" width="13.42578125" style="1448" bestFit="1" customWidth="1"/>
    <col min="3077" max="3077" width="14.42578125" style="1448" customWidth="1"/>
    <col min="3078" max="3078" width="11" style="1448" customWidth="1"/>
    <col min="3079" max="3079" width="8.5703125" style="1448" customWidth="1"/>
    <col min="3080" max="3080" width="14.85546875" style="1448" bestFit="1" customWidth="1"/>
    <col min="3081" max="3081" width="12.7109375" style="1448" customWidth="1"/>
    <col min="3082" max="3082" width="10.28515625" style="1448" customWidth="1"/>
    <col min="3083" max="3328" width="9.140625" style="1448"/>
    <col min="3329" max="3329" width="20" style="1448" customWidth="1"/>
    <col min="3330" max="3330" width="33.28515625" style="1448" customWidth="1"/>
    <col min="3331" max="3331" width="16" style="1448" bestFit="1" customWidth="1"/>
    <col min="3332" max="3332" width="13.42578125" style="1448" bestFit="1" customWidth="1"/>
    <col min="3333" max="3333" width="14.42578125" style="1448" customWidth="1"/>
    <col min="3334" max="3334" width="11" style="1448" customWidth="1"/>
    <col min="3335" max="3335" width="8.5703125" style="1448" customWidth="1"/>
    <col min="3336" max="3336" width="14.85546875" style="1448" bestFit="1" customWidth="1"/>
    <col min="3337" max="3337" width="12.7109375" style="1448" customWidth="1"/>
    <col min="3338" max="3338" width="10.28515625" style="1448" customWidth="1"/>
    <col min="3339" max="3584" width="9.140625" style="1448"/>
    <col min="3585" max="3585" width="20" style="1448" customWidth="1"/>
    <col min="3586" max="3586" width="33.28515625" style="1448" customWidth="1"/>
    <col min="3587" max="3587" width="16" style="1448" bestFit="1" customWidth="1"/>
    <col min="3588" max="3588" width="13.42578125" style="1448" bestFit="1" customWidth="1"/>
    <col min="3589" max="3589" width="14.42578125" style="1448" customWidth="1"/>
    <col min="3590" max="3590" width="11" style="1448" customWidth="1"/>
    <col min="3591" max="3591" width="8.5703125" style="1448" customWidth="1"/>
    <col min="3592" max="3592" width="14.85546875" style="1448" bestFit="1" customWidth="1"/>
    <col min="3593" max="3593" width="12.7109375" style="1448" customWidth="1"/>
    <col min="3594" max="3594" width="10.28515625" style="1448" customWidth="1"/>
    <col min="3595" max="3840" width="9.140625" style="1448"/>
    <col min="3841" max="3841" width="20" style="1448" customWidth="1"/>
    <col min="3842" max="3842" width="33.28515625" style="1448" customWidth="1"/>
    <col min="3843" max="3843" width="16" style="1448" bestFit="1" customWidth="1"/>
    <col min="3844" max="3844" width="13.42578125" style="1448" bestFit="1" customWidth="1"/>
    <col min="3845" max="3845" width="14.42578125" style="1448" customWidth="1"/>
    <col min="3846" max="3846" width="11" style="1448" customWidth="1"/>
    <col min="3847" max="3847" width="8.5703125" style="1448" customWidth="1"/>
    <col min="3848" max="3848" width="14.85546875" style="1448" bestFit="1" customWidth="1"/>
    <col min="3849" max="3849" width="12.7109375" style="1448" customWidth="1"/>
    <col min="3850" max="3850" width="10.28515625" style="1448" customWidth="1"/>
    <col min="3851" max="4096" width="9.140625" style="1448"/>
    <col min="4097" max="4097" width="20" style="1448" customWidth="1"/>
    <col min="4098" max="4098" width="33.28515625" style="1448" customWidth="1"/>
    <col min="4099" max="4099" width="16" style="1448" bestFit="1" customWidth="1"/>
    <col min="4100" max="4100" width="13.42578125" style="1448" bestFit="1" customWidth="1"/>
    <col min="4101" max="4101" width="14.42578125" style="1448" customWidth="1"/>
    <col min="4102" max="4102" width="11" style="1448" customWidth="1"/>
    <col min="4103" max="4103" width="8.5703125" style="1448" customWidth="1"/>
    <col min="4104" max="4104" width="14.85546875" style="1448" bestFit="1" customWidth="1"/>
    <col min="4105" max="4105" width="12.7109375" style="1448" customWidth="1"/>
    <col min="4106" max="4106" width="10.28515625" style="1448" customWidth="1"/>
    <col min="4107" max="4352" width="9.140625" style="1448"/>
    <col min="4353" max="4353" width="20" style="1448" customWidth="1"/>
    <col min="4354" max="4354" width="33.28515625" style="1448" customWidth="1"/>
    <col min="4355" max="4355" width="16" style="1448" bestFit="1" customWidth="1"/>
    <col min="4356" max="4356" width="13.42578125" style="1448" bestFit="1" customWidth="1"/>
    <col min="4357" max="4357" width="14.42578125" style="1448" customWidth="1"/>
    <col min="4358" max="4358" width="11" style="1448" customWidth="1"/>
    <col min="4359" max="4359" width="8.5703125" style="1448" customWidth="1"/>
    <col min="4360" max="4360" width="14.85546875" style="1448" bestFit="1" customWidth="1"/>
    <col min="4361" max="4361" width="12.7109375" style="1448" customWidth="1"/>
    <col min="4362" max="4362" width="10.28515625" style="1448" customWidth="1"/>
    <col min="4363" max="4608" width="9.140625" style="1448"/>
    <col min="4609" max="4609" width="20" style="1448" customWidth="1"/>
    <col min="4610" max="4610" width="33.28515625" style="1448" customWidth="1"/>
    <col min="4611" max="4611" width="16" style="1448" bestFit="1" customWidth="1"/>
    <col min="4612" max="4612" width="13.42578125" style="1448" bestFit="1" customWidth="1"/>
    <col min="4613" max="4613" width="14.42578125" style="1448" customWidth="1"/>
    <col min="4614" max="4614" width="11" style="1448" customWidth="1"/>
    <col min="4615" max="4615" width="8.5703125" style="1448" customWidth="1"/>
    <col min="4616" max="4616" width="14.85546875" style="1448" bestFit="1" customWidth="1"/>
    <col min="4617" max="4617" width="12.7109375" style="1448" customWidth="1"/>
    <col min="4618" max="4618" width="10.28515625" style="1448" customWidth="1"/>
    <col min="4619" max="4864" width="9.140625" style="1448"/>
    <col min="4865" max="4865" width="20" style="1448" customWidth="1"/>
    <col min="4866" max="4866" width="33.28515625" style="1448" customWidth="1"/>
    <col min="4867" max="4867" width="16" style="1448" bestFit="1" customWidth="1"/>
    <col min="4868" max="4868" width="13.42578125" style="1448" bestFit="1" customWidth="1"/>
    <col min="4869" max="4869" width="14.42578125" style="1448" customWidth="1"/>
    <col min="4870" max="4870" width="11" style="1448" customWidth="1"/>
    <col min="4871" max="4871" width="8.5703125" style="1448" customWidth="1"/>
    <col min="4872" max="4872" width="14.85546875" style="1448" bestFit="1" customWidth="1"/>
    <col min="4873" max="4873" width="12.7109375" style="1448" customWidth="1"/>
    <col min="4874" max="4874" width="10.28515625" style="1448" customWidth="1"/>
    <col min="4875" max="5120" width="9.140625" style="1448"/>
    <col min="5121" max="5121" width="20" style="1448" customWidth="1"/>
    <col min="5122" max="5122" width="33.28515625" style="1448" customWidth="1"/>
    <col min="5123" max="5123" width="16" style="1448" bestFit="1" customWidth="1"/>
    <col min="5124" max="5124" width="13.42578125" style="1448" bestFit="1" customWidth="1"/>
    <col min="5125" max="5125" width="14.42578125" style="1448" customWidth="1"/>
    <col min="5126" max="5126" width="11" style="1448" customWidth="1"/>
    <col min="5127" max="5127" width="8.5703125" style="1448" customWidth="1"/>
    <col min="5128" max="5128" width="14.85546875" style="1448" bestFit="1" customWidth="1"/>
    <col min="5129" max="5129" width="12.7109375" style="1448" customWidth="1"/>
    <col min="5130" max="5130" width="10.28515625" style="1448" customWidth="1"/>
    <col min="5131" max="5376" width="9.140625" style="1448"/>
    <col min="5377" max="5377" width="20" style="1448" customWidth="1"/>
    <col min="5378" max="5378" width="33.28515625" style="1448" customWidth="1"/>
    <col min="5379" max="5379" width="16" style="1448" bestFit="1" customWidth="1"/>
    <col min="5380" max="5380" width="13.42578125" style="1448" bestFit="1" customWidth="1"/>
    <col min="5381" max="5381" width="14.42578125" style="1448" customWidth="1"/>
    <col min="5382" max="5382" width="11" style="1448" customWidth="1"/>
    <col min="5383" max="5383" width="8.5703125" style="1448" customWidth="1"/>
    <col min="5384" max="5384" width="14.85546875" style="1448" bestFit="1" customWidth="1"/>
    <col min="5385" max="5385" width="12.7109375" style="1448" customWidth="1"/>
    <col min="5386" max="5386" width="10.28515625" style="1448" customWidth="1"/>
    <col min="5387" max="5632" width="9.140625" style="1448"/>
    <col min="5633" max="5633" width="20" style="1448" customWidth="1"/>
    <col min="5634" max="5634" width="33.28515625" style="1448" customWidth="1"/>
    <col min="5635" max="5635" width="16" style="1448" bestFit="1" customWidth="1"/>
    <col min="5636" max="5636" width="13.42578125" style="1448" bestFit="1" customWidth="1"/>
    <col min="5637" max="5637" width="14.42578125" style="1448" customWidth="1"/>
    <col min="5638" max="5638" width="11" style="1448" customWidth="1"/>
    <col min="5639" max="5639" width="8.5703125" style="1448" customWidth="1"/>
    <col min="5640" max="5640" width="14.85546875" style="1448" bestFit="1" customWidth="1"/>
    <col min="5641" max="5641" width="12.7109375" style="1448" customWidth="1"/>
    <col min="5642" max="5642" width="10.28515625" style="1448" customWidth="1"/>
    <col min="5643" max="5888" width="9.140625" style="1448"/>
    <col min="5889" max="5889" width="20" style="1448" customWidth="1"/>
    <col min="5890" max="5890" width="33.28515625" style="1448" customWidth="1"/>
    <col min="5891" max="5891" width="16" style="1448" bestFit="1" customWidth="1"/>
    <col min="5892" max="5892" width="13.42578125" style="1448" bestFit="1" customWidth="1"/>
    <col min="5893" max="5893" width="14.42578125" style="1448" customWidth="1"/>
    <col min="5894" max="5894" width="11" style="1448" customWidth="1"/>
    <col min="5895" max="5895" width="8.5703125" style="1448" customWidth="1"/>
    <col min="5896" max="5896" width="14.85546875" style="1448" bestFit="1" customWidth="1"/>
    <col min="5897" max="5897" width="12.7109375" style="1448" customWidth="1"/>
    <col min="5898" max="5898" width="10.28515625" style="1448" customWidth="1"/>
    <col min="5899" max="6144" width="9.140625" style="1448"/>
    <col min="6145" max="6145" width="20" style="1448" customWidth="1"/>
    <col min="6146" max="6146" width="33.28515625" style="1448" customWidth="1"/>
    <col min="6147" max="6147" width="16" style="1448" bestFit="1" customWidth="1"/>
    <col min="6148" max="6148" width="13.42578125" style="1448" bestFit="1" customWidth="1"/>
    <col min="6149" max="6149" width="14.42578125" style="1448" customWidth="1"/>
    <col min="6150" max="6150" width="11" style="1448" customWidth="1"/>
    <col min="6151" max="6151" width="8.5703125" style="1448" customWidth="1"/>
    <col min="6152" max="6152" width="14.85546875" style="1448" bestFit="1" customWidth="1"/>
    <col min="6153" max="6153" width="12.7109375" style="1448" customWidth="1"/>
    <col min="6154" max="6154" width="10.28515625" style="1448" customWidth="1"/>
    <col min="6155" max="6400" width="9.140625" style="1448"/>
    <col min="6401" max="6401" width="20" style="1448" customWidth="1"/>
    <col min="6402" max="6402" width="33.28515625" style="1448" customWidth="1"/>
    <col min="6403" max="6403" width="16" style="1448" bestFit="1" customWidth="1"/>
    <col min="6404" max="6404" width="13.42578125" style="1448" bestFit="1" customWidth="1"/>
    <col min="6405" max="6405" width="14.42578125" style="1448" customWidth="1"/>
    <col min="6406" max="6406" width="11" style="1448" customWidth="1"/>
    <col min="6407" max="6407" width="8.5703125" style="1448" customWidth="1"/>
    <col min="6408" max="6408" width="14.85546875" style="1448" bestFit="1" customWidth="1"/>
    <col min="6409" max="6409" width="12.7109375" style="1448" customWidth="1"/>
    <col min="6410" max="6410" width="10.28515625" style="1448" customWidth="1"/>
    <col min="6411" max="6656" width="9.140625" style="1448"/>
    <col min="6657" max="6657" width="20" style="1448" customWidth="1"/>
    <col min="6658" max="6658" width="33.28515625" style="1448" customWidth="1"/>
    <col min="6659" max="6659" width="16" style="1448" bestFit="1" customWidth="1"/>
    <col min="6660" max="6660" width="13.42578125" style="1448" bestFit="1" customWidth="1"/>
    <col min="6661" max="6661" width="14.42578125" style="1448" customWidth="1"/>
    <col min="6662" max="6662" width="11" style="1448" customWidth="1"/>
    <col min="6663" max="6663" width="8.5703125" style="1448" customWidth="1"/>
    <col min="6664" max="6664" width="14.85546875" style="1448" bestFit="1" customWidth="1"/>
    <col min="6665" max="6665" width="12.7109375" style="1448" customWidth="1"/>
    <col min="6666" max="6666" width="10.28515625" style="1448" customWidth="1"/>
    <col min="6667" max="6912" width="9.140625" style="1448"/>
    <col min="6913" max="6913" width="20" style="1448" customWidth="1"/>
    <col min="6914" max="6914" width="33.28515625" style="1448" customWidth="1"/>
    <col min="6915" max="6915" width="16" style="1448" bestFit="1" customWidth="1"/>
    <col min="6916" max="6916" width="13.42578125" style="1448" bestFit="1" customWidth="1"/>
    <col min="6917" max="6917" width="14.42578125" style="1448" customWidth="1"/>
    <col min="6918" max="6918" width="11" style="1448" customWidth="1"/>
    <col min="6919" max="6919" width="8.5703125" style="1448" customWidth="1"/>
    <col min="6920" max="6920" width="14.85546875" style="1448" bestFit="1" customWidth="1"/>
    <col min="6921" max="6921" width="12.7109375" style="1448" customWidth="1"/>
    <col min="6922" max="6922" width="10.28515625" style="1448" customWidth="1"/>
    <col min="6923" max="7168" width="9.140625" style="1448"/>
    <col min="7169" max="7169" width="20" style="1448" customWidth="1"/>
    <col min="7170" max="7170" width="33.28515625" style="1448" customWidth="1"/>
    <col min="7171" max="7171" width="16" style="1448" bestFit="1" customWidth="1"/>
    <col min="7172" max="7172" width="13.42578125" style="1448" bestFit="1" customWidth="1"/>
    <col min="7173" max="7173" width="14.42578125" style="1448" customWidth="1"/>
    <col min="7174" max="7174" width="11" style="1448" customWidth="1"/>
    <col min="7175" max="7175" width="8.5703125" style="1448" customWidth="1"/>
    <col min="7176" max="7176" width="14.85546875" style="1448" bestFit="1" customWidth="1"/>
    <col min="7177" max="7177" width="12.7109375" style="1448" customWidth="1"/>
    <col min="7178" max="7178" width="10.28515625" style="1448" customWidth="1"/>
    <col min="7179" max="7424" width="9.140625" style="1448"/>
    <col min="7425" max="7425" width="20" style="1448" customWidth="1"/>
    <col min="7426" max="7426" width="33.28515625" style="1448" customWidth="1"/>
    <col min="7427" max="7427" width="16" style="1448" bestFit="1" customWidth="1"/>
    <col min="7428" max="7428" width="13.42578125" style="1448" bestFit="1" customWidth="1"/>
    <col min="7429" max="7429" width="14.42578125" style="1448" customWidth="1"/>
    <col min="7430" max="7430" width="11" style="1448" customWidth="1"/>
    <col min="7431" max="7431" width="8.5703125" style="1448" customWidth="1"/>
    <col min="7432" max="7432" width="14.85546875" style="1448" bestFit="1" customWidth="1"/>
    <col min="7433" max="7433" width="12.7109375" style="1448" customWidth="1"/>
    <col min="7434" max="7434" width="10.28515625" style="1448" customWidth="1"/>
    <col min="7435" max="7680" width="9.140625" style="1448"/>
    <col min="7681" max="7681" width="20" style="1448" customWidth="1"/>
    <col min="7682" max="7682" width="33.28515625" style="1448" customWidth="1"/>
    <col min="7683" max="7683" width="16" style="1448" bestFit="1" customWidth="1"/>
    <col min="7684" max="7684" width="13.42578125" style="1448" bestFit="1" customWidth="1"/>
    <col min="7685" max="7685" width="14.42578125" style="1448" customWidth="1"/>
    <col min="7686" max="7686" width="11" style="1448" customWidth="1"/>
    <col min="7687" max="7687" width="8.5703125" style="1448" customWidth="1"/>
    <col min="7688" max="7688" width="14.85546875" style="1448" bestFit="1" customWidth="1"/>
    <col min="7689" max="7689" width="12.7109375" style="1448" customWidth="1"/>
    <col min="7690" max="7690" width="10.28515625" style="1448" customWidth="1"/>
    <col min="7691" max="7936" width="9.140625" style="1448"/>
    <col min="7937" max="7937" width="20" style="1448" customWidth="1"/>
    <col min="7938" max="7938" width="33.28515625" style="1448" customWidth="1"/>
    <col min="7939" max="7939" width="16" style="1448" bestFit="1" customWidth="1"/>
    <col min="7940" max="7940" width="13.42578125" style="1448" bestFit="1" customWidth="1"/>
    <col min="7941" max="7941" width="14.42578125" style="1448" customWidth="1"/>
    <col min="7942" max="7942" width="11" style="1448" customWidth="1"/>
    <col min="7943" max="7943" width="8.5703125" style="1448" customWidth="1"/>
    <col min="7944" max="7944" width="14.85546875" style="1448" bestFit="1" customWidth="1"/>
    <col min="7945" max="7945" width="12.7109375" style="1448" customWidth="1"/>
    <col min="7946" max="7946" width="10.28515625" style="1448" customWidth="1"/>
    <col min="7947" max="8192" width="9.140625" style="1448"/>
    <col min="8193" max="8193" width="20" style="1448" customWidth="1"/>
    <col min="8194" max="8194" width="33.28515625" style="1448" customWidth="1"/>
    <col min="8195" max="8195" width="16" style="1448" bestFit="1" customWidth="1"/>
    <col min="8196" max="8196" width="13.42578125" style="1448" bestFit="1" customWidth="1"/>
    <col min="8197" max="8197" width="14.42578125" style="1448" customWidth="1"/>
    <col min="8198" max="8198" width="11" style="1448" customWidth="1"/>
    <col min="8199" max="8199" width="8.5703125" style="1448" customWidth="1"/>
    <col min="8200" max="8200" width="14.85546875" style="1448" bestFit="1" customWidth="1"/>
    <col min="8201" max="8201" width="12.7109375" style="1448" customWidth="1"/>
    <col min="8202" max="8202" width="10.28515625" style="1448" customWidth="1"/>
    <col min="8203" max="8448" width="9.140625" style="1448"/>
    <col min="8449" max="8449" width="20" style="1448" customWidth="1"/>
    <col min="8450" max="8450" width="33.28515625" style="1448" customWidth="1"/>
    <col min="8451" max="8451" width="16" style="1448" bestFit="1" customWidth="1"/>
    <col min="8452" max="8452" width="13.42578125" style="1448" bestFit="1" customWidth="1"/>
    <col min="8453" max="8453" width="14.42578125" style="1448" customWidth="1"/>
    <col min="8454" max="8454" width="11" style="1448" customWidth="1"/>
    <col min="8455" max="8455" width="8.5703125" style="1448" customWidth="1"/>
    <col min="8456" max="8456" width="14.85546875" style="1448" bestFit="1" customWidth="1"/>
    <col min="8457" max="8457" width="12.7109375" style="1448" customWidth="1"/>
    <col min="8458" max="8458" width="10.28515625" style="1448" customWidth="1"/>
    <col min="8459" max="8704" width="9.140625" style="1448"/>
    <col min="8705" max="8705" width="20" style="1448" customWidth="1"/>
    <col min="8706" max="8706" width="33.28515625" style="1448" customWidth="1"/>
    <col min="8707" max="8707" width="16" style="1448" bestFit="1" customWidth="1"/>
    <col min="8708" max="8708" width="13.42578125" style="1448" bestFit="1" customWidth="1"/>
    <col min="8709" max="8709" width="14.42578125" style="1448" customWidth="1"/>
    <col min="8710" max="8710" width="11" style="1448" customWidth="1"/>
    <col min="8711" max="8711" width="8.5703125" style="1448" customWidth="1"/>
    <col min="8712" max="8712" width="14.85546875" style="1448" bestFit="1" customWidth="1"/>
    <col min="8713" max="8713" width="12.7109375" style="1448" customWidth="1"/>
    <col min="8714" max="8714" width="10.28515625" style="1448" customWidth="1"/>
    <col min="8715" max="8960" width="9.140625" style="1448"/>
    <col min="8961" max="8961" width="20" style="1448" customWidth="1"/>
    <col min="8962" max="8962" width="33.28515625" style="1448" customWidth="1"/>
    <col min="8963" max="8963" width="16" style="1448" bestFit="1" customWidth="1"/>
    <col min="8964" max="8964" width="13.42578125" style="1448" bestFit="1" customWidth="1"/>
    <col min="8965" max="8965" width="14.42578125" style="1448" customWidth="1"/>
    <col min="8966" max="8966" width="11" style="1448" customWidth="1"/>
    <col min="8967" max="8967" width="8.5703125" style="1448" customWidth="1"/>
    <col min="8968" max="8968" width="14.85546875" style="1448" bestFit="1" customWidth="1"/>
    <col min="8969" max="8969" width="12.7109375" style="1448" customWidth="1"/>
    <col min="8970" max="8970" width="10.28515625" style="1448" customWidth="1"/>
    <col min="8971" max="9216" width="9.140625" style="1448"/>
    <col min="9217" max="9217" width="20" style="1448" customWidth="1"/>
    <col min="9218" max="9218" width="33.28515625" style="1448" customWidth="1"/>
    <col min="9219" max="9219" width="16" style="1448" bestFit="1" customWidth="1"/>
    <col min="9220" max="9220" width="13.42578125" style="1448" bestFit="1" customWidth="1"/>
    <col min="9221" max="9221" width="14.42578125" style="1448" customWidth="1"/>
    <col min="9222" max="9222" width="11" style="1448" customWidth="1"/>
    <col min="9223" max="9223" width="8.5703125" style="1448" customWidth="1"/>
    <col min="9224" max="9224" width="14.85546875" style="1448" bestFit="1" customWidth="1"/>
    <col min="9225" max="9225" width="12.7109375" style="1448" customWidth="1"/>
    <col min="9226" max="9226" width="10.28515625" style="1448" customWidth="1"/>
    <col min="9227" max="9472" width="9.140625" style="1448"/>
    <col min="9473" max="9473" width="20" style="1448" customWidth="1"/>
    <col min="9474" max="9474" width="33.28515625" style="1448" customWidth="1"/>
    <col min="9475" max="9475" width="16" style="1448" bestFit="1" customWidth="1"/>
    <col min="9476" max="9476" width="13.42578125" style="1448" bestFit="1" customWidth="1"/>
    <col min="9477" max="9477" width="14.42578125" style="1448" customWidth="1"/>
    <col min="9478" max="9478" width="11" style="1448" customWidth="1"/>
    <col min="9479" max="9479" width="8.5703125" style="1448" customWidth="1"/>
    <col min="9480" max="9480" width="14.85546875" style="1448" bestFit="1" customWidth="1"/>
    <col min="9481" max="9481" width="12.7109375" style="1448" customWidth="1"/>
    <col min="9482" max="9482" width="10.28515625" style="1448" customWidth="1"/>
    <col min="9483" max="9728" width="9.140625" style="1448"/>
    <col min="9729" max="9729" width="20" style="1448" customWidth="1"/>
    <col min="9730" max="9730" width="33.28515625" style="1448" customWidth="1"/>
    <col min="9731" max="9731" width="16" style="1448" bestFit="1" customWidth="1"/>
    <col min="9732" max="9732" width="13.42578125" style="1448" bestFit="1" customWidth="1"/>
    <col min="9733" max="9733" width="14.42578125" style="1448" customWidth="1"/>
    <col min="9734" max="9734" width="11" style="1448" customWidth="1"/>
    <col min="9735" max="9735" width="8.5703125" style="1448" customWidth="1"/>
    <col min="9736" max="9736" width="14.85546875" style="1448" bestFit="1" customWidth="1"/>
    <col min="9737" max="9737" width="12.7109375" style="1448" customWidth="1"/>
    <col min="9738" max="9738" width="10.28515625" style="1448" customWidth="1"/>
    <col min="9739" max="9984" width="9.140625" style="1448"/>
    <col min="9985" max="9985" width="20" style="1448" customWidth="1"/>
    <col min="9986" max="9986" width="33.28515625" style="1448" customWidth="1"/>
    <col min="9987" max="9987" width="16" style="1448" bestFit="1" customWidth="1"/>
    <col min="9988" max="9988" width="13.42578125" style="1448" bestFit="1" customWidth="1"/>
    <col min="9989" max="9989" width="14.42578125" style="1448" customWidth="1"/>
    <col min="9990" max="9990" width="11" style="1448" customWidth="1"/>
    <col min="9991" max="9991" width="8.5703125" style="1448" customWidth="1"/>
    <col min="9992" max="9992" width="14.85546875" style="1448" bestFit="1" customWidth="1"/>
    <col min="9993" max="9993" width="12.7109375" style="1448" customWidth="1"/>
    <col min="9994" max="9994" width="10.28515625" style="1448" customWidth="1"/>
    <col min="9995" max="10240" width="9.140625" style="1448"/>
    <col min="10241" max="10241" width="20" style="1448" customWidth="1"/>
    <col min="10242" max="10242" width="33.28515625" style="1448" customWidth="1"/>
    <col min="10243" max="10243" width="16" style="1448" bestFit="1" customWidth="1"/>
    <col min="10244" max="10244" width="13.42578125" style="1448" bestFit="1" customWidth="1"/>
    <col min="10245" max="10245" width="14.42578125" style="1448" customWidth="1"/>
    <col min="10246" max="10246" width="11" style="1448" customWidth="1"/>
    <col min="10247" max="10247" width="8.5703125" style="1448" customWidth="1"/>
    <col min="10248" max="10248" width="14.85546875" style="1448" bestFit="1" customWidth="1"/>
    <col min="10249" max="10249" width="12.7109375" style="1448" customWidth="1"/>
    <col min="10250" max="10250" width="10.28515625" style="1448" customWidth="1"/>
    <col min="10251" max="10496" width="9.140625" style="1448"/>
    <col min="10497" max="10497" width="20" style="1448" customWidth="1"/>
    <col min="10498" max="10498" width="33.28515625" style="1448" customWidth="1"/>
    <col min="10499" max="10499" width="16" style="1448" bestFit="1" customWidth="1"/>
    <col min="10500" max="10500" width="13.42578125" style="1448" bestFit="1" customWidth="1"/>
    <col min="10501" max="10501" width="14.42578125" style="1448" customWidth="1"/>
    <col min="10502" max="10502" width="11" style="1448" customWidth="1"/>
    <col min="10503" max="10503" width="8.5703125" style="1448" customWidth="1"/>
    <col min="10504" max="10504" width="14.85546875" style="1448" bestFit="1" customWidth="1"/>
    <col min="10505" max="10505" width="12.7109375" style="1448" customWidth="1"/>
    <col min="10506" max="10506" width="10.28515625" style="1448" customWidth="1"/>
    <col min="10507" max="10752" width="9.140625" style="1448"/>
    <col min="10753" max="10753" width="20" style="1448" customWidth="1"/>
    <col min="10754" max="10754" width="33.28515625" style="1448" customWidth="1"/>
    <col min="10755" max="10755" width="16" style="1448" bestFit="1" customWidth="1"/>
    <col min="10756" max="10756" width="13.42578125" style="1448" bestFit="1" customWidth="1"/>
    <col min="10757" max="10757" width="14.42578125" style="1448" customWidth="1"/>
    <col min="10758" max="10758" width="11" style="1448" customWidth="1"/>
    <col min="10759" max="10759" width="8.5703125" style="1448" customWidth="1"/>
    <col min="10760" max="10760" width="14.85546875" style="1448" bestFit="1" customWidth="1"/>
    <col min="10761" max="10761" width="12.7109375" style="1448" customWidth="1"/>
    <col min="10762" max="10762" width="10.28515625" style="1448" customWidth="1"/>
    <col min="10763" max="11008" width="9.140625" style="1448"/>
    <col min="11009" max="11009" width="20" style="1448" customWidth="1"/>
    <col min="11010" max="11010" width="33.28515625" style="1448" customWidth="1"/>
    <col min="11011" max="11011" width="16" style="1448" bestFit="1" customWidth="1"/>
    <col min="11012" max="11012" width="13.42578125" style="1448" bestFit="1" customWidth="1"/>
    <col min="11013" max="11013" width="14.42578125" style="1448" customWidth="1"/>
    <col min="11014" max="11014" width="11" style="1448" customWidth="1"/>
    <col min="11015" max="11015" width="8.5703125" style="1448" customWidth="1"/>
    <col min="11016" max="11016" width="14.85546875" style="1448" bestFit="1" customWidth="1"/>
    <col min="11017" max="11017" width="12.7109375" style="1448" customWidth="1"/>
    <col min="11018" max="11018" width="10.28515625" style="1448" customWidth="1"/>
    <col min="11019" max="11264" width="9.140625" style="1448"/>
    <col min="11265" max="11265" width="20" style="1448" customWidth="1"/>
    <col min="11266" max="11266" width="33.28515625" style="1448" customWidth="1"/>
    <col min="11267" max="11267" width="16" style="1448" bestFit="1" customWidth="1"/>
    <col min="11268" max="11268" width="13.42578125" style="1448" bestFit="1" customWidth="1"/>
    <col min="11269" max="11269" width="14.42578125" style="1448" customWidth="1"/>
    <col min="11270" max="11270" width="11" style="1448" customWidth="1"/>
    <col min="11271" max="11271" width="8.5703125" style="1448" customWidth="1"/>
    <col min="11272" max="11272" width="14.85546875" style="1448" bestFit="1" customWidth="1"/>
    <col min="11273" max="11273" width="12.7109375" style="1448" customWidth="1"/>
    <col min="11274" max="11274" width="10.28515625" style="1448" customWidth="1"/>
    <col min="11275" max="11520" width="9.140625" style="1448"/>
    <col min="11521" max="11521" width="20" style="1448" customWidth="1"/>
    <col min="11522" max="11522" width="33.28515625" style="1448" customWidth="1"/>
    <col min="11523" max="11523" width="16" style="1448" bestFit="1" customWidth="1"/>
    <col min="11524" max="11524" width="13.42578125" style="1448" bestFit="1" customWidth="1"/>
    <col min="11525" max="11525" width="14.42578125" style="1448" customWidth="1"/>
    <col min="11526" max="11526" width="11" style="1448" customWidth="1"/>
    <col min="11527" max="11527" width="8.5703125" style="1448" customWidth="1"/>
    <col min="11528" max="11528" width="14.85546875" style="1448" bestFit="1" customWidth="1"/>
    <col min="11529" max="11529" width="12.7109375" style="1448" customWidth="1"/>
    <col min="11530" max="11530" width="10.28515625" style="1448" customWidth="1"/>
    <col min="11531" max="11776" width="9.140625" style="1448"/>
    <col min="11777" max="11777" width="20" style="1448" customWidth="1"/>
    <col min="11778" max="11778" width="33.28515625" style="1448" customWidth="1"/>
    <col min="11779" max="11779" width="16" style="1448" bestFit="1" customWidth="1"/>
    <col min="11780" max="11780" width="13.42578125" style="1448" bestFit="1" customWidth="1"/>
    <col min="11781" max="11781" width="14.42578125" style="1448" customWidth="1"/>
    <col min="11782" max="11782" width="11" style="1448" customWidth="1"/>
    <col min="11783" max="11783" width="8.5703125" style="1448" customWidth="1"/>
    <col min="11784" max="11784" width="14.85546875" style="1448" bestFit="1" customWidth="1"/>
    <col min="11785" max="11785" width="12.7109375" style="1448" customWidth="1"/>
    <col min="11786" max="11786" width="10.28515625" style="1448" customWidth="1"/>
    <col min="11787" max="12032" width="9.140625" style="1448"/>
    <col min="12033" max="12033" width="20" style="1448" customWidth="1"/>
    <col min="12034" max="12034" width="33.28515625" style="1448" customWidth="1"/>
    <col min="12035" max="12035" width="16" style="1448" bestFit="1" customWidth="1"/>
    <col min="12036" max="12036" width="13.42578125" style="1448" bestFit="1" customWidth="1"/>
    <col min="12037" max="12037" width="14.42578125" style="1448" customWidth="1"/>
    <col min="12038" max="12038" width="11" style="1448" customWidth="1"/>
    <col min="12039" max="12039" width="8.5703125" style="1448" customWidth="1"/>
    <col min="12040" max="12040" width="14.85546875" style="1448" bestFit="1" customWidth="1"/>
    <col min="12041" max="12041" width="12.7109375" style="1448" customWidth="1"/>
    <col min="12042" max="12042" width="10.28515625" style="1448" customWidth="1"/>
    <col min="12043" max="12288" width="9.140625" style="1448"/>
    <col min="12289" max="12289" width="20" style="1448" customWidth="1"/>
    <col min="12290" max="12290" width="33.28515625" style="1448" customWidth="1"/>
    <col min="12291" max="12291" width="16" style="1448" bestFit="1" customWidth="1"/>
    <col min="12292" max="12292" width="13.42578125" style="1448" bestFit="1" customWidth="1"/>
    <col min="12293" max="12293" width="14.42578125" style="1448" customWidth="1"/>
    <col min="12294" max="12294" width="11" style="1448" customWidth="1"/>
    <col min="12295" max="12295" width="8.5703125" style="1448" customWidth="1"/>
    <col min="12296" max="12296" width="14.85546875" style="1448" bestFit="1" customWidth="1"/>
    <col min="12297" max="12297" width="12.7109375" style="1448" customWidth="1"/>
    <col min="12298" max="12298" width="10.28515625" style="1448" customWidth="1"/>
    <col min="12299" max="12544" width="9.140625" style="1448"/>
    <col min="12545" max="12545" width="20" style="1448" customWidth="1"/>
    <col min="12546" max="12546" width="33.28515625" style="1448" customWidth="1"/>
    <col min="12547" max="12547" width="16" style="1448" bestFit="1" customWidth="1"/>
    <col min="12548" max="12548" width="13.42578125" style="1448" bestFit="1" customWidth="1"/>
    <col min="12549" max="12549" width="14.42578125" style="1448" customWidth="1"/>
    <col min="12550" max="12550" width="11" style="1448" customWidth="1"/>
    <col min="12551" max="12551" width="8.5703125" style="1448" customWidth="1"/>
    <col min="12552" max="12552" width="14.85546875" style="1448" bestFit="1" customWidth="1"/>
    <col min="12553" max="12553" width="12.7109375" style="1448" customWidth="1"/>
    <col min="12554" max="12554" width="10.28515625" style="1448" customWidth="1"/>
    <col min="12555" max="12800" width="9.140625" style="1448"/>
    <col min="12801" max="12801" width="20" style="1448" customWidth="1"/>
    <col min="12802" max="12802" width="33.28515625" style="1448" customWidth="1"/>
    <col min="12803" max="12803" width="16" style="1448" bestFit="1" customWidth="1"/>
    <col min="12804" max="12804" width="13.42578125" style="1448" bestFit="1" customWidth="1"/>
    <col min="12805" max="12805" width="14.42578125" style="1448" customWidth="1"/>
    <col min="12806" max="12806" width="11" style="1448" customWidth="1"/>
    <col min="12807" max="12807" width="8.5703125" style="1448" customWidth="1"/>
    <col min="12808" max="12808" width="14.85546875" style="1448" bestFit="1" customWidth="1"/>
    <col min="12809" max="12809" width="12.7109375" style="1448" customWidth="1"/>
    <col min="12810" max="12810" width="10.28515625" style="1448" customWidth="1"/>
    <col min="12811" max="13056" width="9.140625" style="1448"/>
    <col min="13057" max="13057" width="20" style="1448" customWidth="1"/>
    <col min="13058" max="13058" width="33.28515625" style="1448" customWidth="1"/>
    <col min="13059" max="13059" width="16" style="1448" bestFit="1" customWidth="1"/>
    <col min="13060" max="13060" width="13.42578125" style="1448" bestFit="1" customWidth="1"/>
    <col min="13061" max="13061" width="14.42578125" style="1448" customWidth="1"/>
    <col min="13062" max="13062" width="11" style="1448" customWidth="1"/>
    <col min="13063" max="13063" width="8.5703125" style="1448" customWidth="1"/>
    <col min="13064" max="13064" width="14.85546875" style="1448" bestFit="1" customWidth="1"/>
    <col min="13065" max="13065" width="12.7109375" style="1448" customWidth="1"/>
    <col min="13066" max="13066" width="10.28515625" style="1448" customWidth="1"/>
    <col min="13067" max="13312" width="9.140625" style="1448"/>
    <col min="13313" max="13313" width="20" style="1448" customWidth="1"/>
    <col min="13314" max="13314" width="33.28515625" style="1448" customWidth="1"/>
    <col min="13315" max="13315" width="16" style="1448" bestFit="1" customWidth="1"/>
    <col min="13316" max="13316" width="13.42578125" style="1448" bestFit="1" customWidth="1"/>
    <col min="13317" max="13317" width="14.42578125" style="1448" customWidth="1"/>
    <col min="13318" max="13318" width="11" style="1448" customWidth="1"/>
    <col min="13319" max="13319" width="8.5703125" style="1448" customWidth="1"/>
    <col min="13320" max="13320" width="14.85546875" style="1448" bestFit="1" customWidth="1"/>
    <col min="13321" max="13321" width="12.7109375" style="1448" customWidth="1"/>
    <col min="13322" max="13322" width="10.28515625" style="1448" customWidth="1"/>
    <col min="13323" max="13568" width="9.140625" style="1448"/>
    <col min="13569" max="13569" width="20" style="1448" customWidth="1"/>
    <col min="13570" max="13570" width="33.28515625" style="1448" customWidth="1"/>
    <col min="13571" max="13571" width="16" style="1448" bestFit="1" customWidth="1"/>
    <col min="13572" max="13572" width="13.42578125" style="1448" bestFit="1" customWidth="1"/>
    <col min="13573" max="13573" width="14.42578125" style="1448" customWidth="1"/>
    <col min="13574" max="13574" width="11" style="1448" customWidth="1"/>
    <col min="13575" max="13575" width="8.5703125" style="1448" customWidth="1"/>
    <col min="13576" max="13576" width="14.85546875" style="1448" bestFit="1" customWidth="1"/>
    <col min="13577" max="13577" width="12.7109375" style="1448" customWidth="1"/>
    <col min="13578" max="13578" width="10.28515625" style="1448" customWidth="1"/>
    <col min="13579" max="13824" width="9.140625" style="1448"/>
    <col min="13825" max="13825" width="20" style="1448" customWidth="1"/>
    <col min="13826" max="13826" width="33.28515625" style="1448" customWidth="1"/>
    <col min="13827" max="13827" width="16" style="1448" bestFit="1" customWidth="1"/>
    <col min="13828" max="13828" width="13.42578125" style="1448" bestFit="1" customWidth="1"/>
    <col min="13829" max="13829" width="14.42578125" style="1448" customWidth="1"/>
    <col min="13830" max="13830" width="11" style="1448" customWidth="1"/>
    <col min="13831" max="13831" width="8.5703125" style="1448" customWidth="1"/>
    <col min="13832" max="13832" width="14.85546875" style="1448" bestFit="1" customWidth="1"/>
    <col min="13833" max="13833" width="12.7109375" style="1448" customWidth="1"/>
    <col min="13834" max="13834" width="10.28515625" style="1448" customWidth="1"/>
    <col min="13835" max="14080" width="9.140625" style="1448"/>
    <col min="14081" max="14081" width="20" style="1448" customWidth="1"/>
    <col min="14082" max="14082" width="33.28515625" style="1448" customWidth="1"/>
    <col min="14083" max="14083" width="16" style="1448" bestFit="1" customWidth="1"/>
    <col min="14084" max="14084" width="13.42578125" style="1448" bestFit="1" customWidth="1"/>
    <col min="14085" max="14085" width="14.42578125" style="1448" customWidth="1"/>
    <col min="14086" max="14086" width="11" style="1448" customWidth="1"/>
    <col min="14087" max="14087" width="8.5703125" style="1448" customWidth="1"/>
    <col min="14088" max="14088" width="14.85546875" style="1448" bestFit="1" customWidth="1"/>
    <col min="14089" max="14089" width="12.7109375" style="1448" customWidth="1"/>
    <col min="14090" max="14090" width="10.28515625" style="1448" customWidth="1"/>
    <col min="14091" max="14336" width="9.140625" style="1448"/>
    <col min="14337" max="14337" width="20" style="1448" customWidth="1"/>
    <col min="14338" max="14338" width="33.28515625" style="1448" customWidth="1"/>
    <col min="14339" max="14339" width="16" style="1448" bestFit="1" customWidth="1"/>
    <col min="14340" max="14340" width="13.42578125" style="1448" bestFit="1" customWidth="1"/>
    <col min="14341" max="14341" width="14.42578125" style="1448" customWidth="1"/>
    <col min="14342" max="14342" width="11" style="1448" customWidth="1"/>
    <col min="14343" max="14343" width="8.5703125" style="1448" customWidth="1"/>
    <col min="14344" max="14344" width="14.85546875" style="1448" bestFit="1" customWidth="1"/>
    <col min="14345" max="14345" width="12.7109375" style="1448" customWidth="1"/>
    <col min="14346" max="14346" width="10.28515625" style="1448" customWidth="1"/>
    <col min="14347" max="14592" width="9.140625" style="1448"/>
    <col min="14593" max="14593" width="20" style="1448" customWidth="1"/>
    <col min="14594" max="14594" width="33.28515625" style="1448" customWidth="1"/>
    <col min="14595" max="14595" width="16" style="1448" bestFit="1" customWidth="1"/>
    <col min="14596" max="14596" width="13.42578125" style="1448" bestFit="1" customWidth="1"/>
    <col min="14597" max="14597" width="14.42578125" style="1448" customWidth="1"/>
    <col min="14598" max="14598" width="11" style="1448" customWidth="1"/>
    <col min="14599" max="14599" width="8.5703125" style="1448" customWidth="1"/>
    <col min="14600" max="14600" width="14.85546875" style="1448" bestFit="1" customWidth="1"/>
    <col min="14601" max="14601" width="12.7109375" style="1448" customWidth="1"/>
    <col min="14602" max="14602" width="10.28515625" style="1448" customWidth="1"/>
    <col min="14603" max="14848" width="9.140625" style="1448"/>
    <col min="14849" max="14849" width="20" style="1448" customWidth="1"/>
    <col min="14850" max="14850" width="33.28515625" style="1448" customWidth="1"/>
    <col min="14851" max="14851" width="16" style="1448" bestFit="1" customWidth="1"/>
    <col min="14852" max="14852" width="13.42578125" style="1448" bestFit="1" customWidth="1"/>
    <col min="14853" max="14853" width="14.42578125" style="1448" customWidth="1"/>
    <col min="14854" max="14854" width="11" style="1448" customWidth="1"/>
    <col min="14855" max="14855" width="8.5703125" style="1448" customWidth="1"/>
    <col min="14856" max="14856" width="14.85546875" style="1448" bestFit="1" customWidth="1"/>
    <col min="14857" max="14857" width="12.7109375" style="1448" customWidth="1"/>
    <col min="14858" max="14858" width="10.28515625" style="1448" customWidth="1"/>
    <col min="14859" max="15104" width="9.140625" style="1448"/>
    <col min="15105" max="15105" width="20" style="1448" customWidth="1"/>
    <col min="15106" max="15106" width="33.28515625" style="1448" customWidth="1"/>
    <col min="15107" max="15107" width="16" style="1448" bestFit="1" customWidth="1"/>
    <col min="15108" max="15108" width="13.42578125" style="1448" bestFit="1" customWidth="1"/>
    <col min="15109" max="15109" width="14.42578125" style="1448" customWidth="1"/>
    <col min="15110" max="15110" width="11" style="1448" customWidth="1"/>
    <col min="15111" max="15111" width="8.5703125" style="1448" customWidth="1"/>
    <col min="15112" max="15112" width="14.85546875" style="1448" bestFit="1" customWidth="1"/>
    <col min="15113" max="15113" width="12.7109375" style="1448" customWidth="1"/>
    <col min="15114" max="15114" width="10.28515625" style="1448" customWidth="1"/>
    <col min="15115" max="15360" width="9.140625" style="1448"/>
    <col min="15361" max="15361" width="20" style="1448" customWidth="1"/>
    <col min="15362" max="15362" width="33.28515625" style="1448" customWidth="1"/>
    <col min="15363" max="15363" width="16" style="1448" bestFit="1" customWidth="1"/>
    <col min="15364" max="15364" width="13.42578125" style="1448" bestFit="1" customWidth="1"/>
    <col min="15365" max="15365" width="14.42578125" style="1448" customWidth="1"/>
    <col min="15366" max="15366" width="11" style="1448" customWidth="1"/>
    <col min="15367" max="15367" width="8.5703125" style="1448" customWidth="1"/>
    <col min="15368" max="15368" width="14.85546875" style="1448" bestFit="1" customWidth="1"/>
    <col min="15369" max="15369" width="12.7109375" style="1448" customWidth="1"/>
    <col min="15370" max="15370" width="10.28515625" style="1448" customWidth="1"/>
    <col min="15371" max="15616" width="9.140625" style="1448"/>
    <col min="15617" max="15617" width="20" style="1448" customWidth="1"/>
    <col min="15618" max="15618" width="33.28515625" style="1448" customWidth="1"/>
    <col min="15619" max="15619" width="16" style="1448" bestFit="1" customWidth="1"/>
    <col min="15620" max="15620" width="13.42578125" style="1448" bestFit="1" customWidth="1"/>
    <col min="15621" max="15621" width="14.42578125" style="1448" customWidth="1"/>
    <col min="15622" max="15622" width="11" style="1448" customWidth="1"/>
    <col min="15623" max="15623" width="8.5703125" style="1448" customWidth="1"/>
    <col min="15624" max="15624" width="14.85546875" style="1448" bestFit="1" customWidth="1"/>
    <col min="15625" max="15625" width="12.7109375" style="1448" customWidth="1"/>
    <col min="15626" max="15626" width="10.28515625" style="1448" customWidth="1"/>
    <col min="15627" max="15872" width="9.140625" style="1448"/>
    <col min="15873" max="15873" width="20" style="1448" customWidth="1"/>
    <col min="15874" max="15874" width="33.28515625" style="1448" customWidth="1"/>
    <col min="15875" max="15875" width="16" style="1448" bestFit="1" customWidth="1"/>
    <col min="15876" max="15876" width="13.42578125" style="1448" bestFit="1" customWidth="1"/>
    <col min="15877" max="15877" width="14.42578125" style="1448" customWidth="1"/>
    <col min="15878" max="15878" width="11" style="1448" customWidth="1"/>
    <col min="15879" max="15879" width="8.5703125" style="1448" customWidth="1"/>
    <col min="15880" max="15880" width="14.85546875" style="1448" bestFit="1" customWidth="1"/>
    <col min="15881" max="15881" width="12.7109375" style="1448" customWidth="1"/>
    <col min="15882" max="15882" width="10.28515625" style="1448" customWidth="1"/>
    <col min="15883" max="16128" width="9.140625" style="1448"/>
    <col min="16129" max="16129" width="20" style="1448" customWidth="1"/>
    <col min="16130" max="16130" width="33.28515625" style="1448" customWidth="1"/>
    <col min="16131" max="16131" width="16" style="1448" bestFit="1" customWidth="1"/>
    <col min="16132" max="16132" width="13.42578125" style="1448" bestFit="1" customWidth="1"/>
    <col min="16133" max="16133" width="14.42578125" style="1448" customWidth="1"/>
    <col min="16134" max="16134" width="11" style="1448" customWidth="1"/>
    <col min="16135" max="16135" width="8.5703125" style="1448" customWidth="1"/>
    <col min="16136" max="16136" width="14.85546875" style="1448" bestFit="1" customWidth="1"/>
    <col min="16137" max="16137" width="12.7109375" style="1448" customWidth="1"/>
    <col min="16138" max="16138" width="10.28515625" style="1448" customWidth="1"/>
    <col min="16139" max="16384" width="9.140625" style="1448"/>
  </cols>
  <sheetData>
    <row r="1" spans="1:11" ht="27.75" customHeight="1">
      <c r="A1" s="1139"/>
      <c r="B1" s="1140" t="s">
        <v>187</v>
      </c>
      <c r="C1" s="1141" t="s">
        <v>1869</v>
      </c>
      <c r="D1" s="1142"/>
      <c r="E1" s="1142"/>
      <c r="F1" s="1143"/>
      <c r="G1" s="1144"/>
      <c r="H1" s="1447"/>
      <c r="I1" s="1447"/>
      <c r="J1" s="1143"/>
    </row>
    <row r="2" spans="1:11" ht="12">
      <c r="A2" s="1139"/>
      <c r="B2" s="1140" t="s">
        <v>188</v>
      </c>
      <c r="C2" s="1145">
        <v>17862944</v>
      </c>
      <c r="D2" s="1142"/>
      <c r="E2" s="1142"/>
      <c r="F2" s="1143"/>
      <c r="G2" s="1144"/>
      <c r="H2" s="1447"/>
      <c r="I2" s="1447"/>
      <c r="J2" s="1143"/>
    </row>
    <row r="3" spans="1:11" ht="12">
      <c r="A3" s="1139"/>
      <c r="B3" s="1140"/>
      <c r="C3" s="1145"/>
      <c r="D3" s="1142"/>
      <c r="E3" s="1142"/>
      <c r="F3" s="1143"/>
      <c r="G3" s="1144"/>
      <c r="H3" s="1447"/>
      <c r="I3" s="1447"/>
      <c r="J3" s="1143"/>
    </row>
    <row r="4" spans="1:11" ht="15">
      <c r="A4" s="1139"/>
      <c r="B4" s="1140" t="s">
        <v>1905</v>
      </c>
      <c r="C4" s="1146" t="s">
        <v>297</v>
      </c>
      <c r="D4" s="1147"/>
      <c r="E4" s="1147"/>
      <c r="F4" s="1148"/>
      <c r="G4" s="1149"/>
      <c r="H4" s="1447"/>
      <c r="I4" s="1447"/>
      <c r="J4" s="1148"/>
    </row>
    <row r="5" spans="1:11" s="1452" customFormat="1" ht="15.75" thickBot="1">
      <c r="A5" s="1449"/>
      <c r="B5" s="1449"/>
      <c r="C5" s="1449"/>
      <c r="D5" s="1449"/>
      <c r="E5" s="1449"/>
      <c r="F5" s="1450"/>
      <c r="G5" s="1451"/>
      <c r="H5" s="1449"/>
      <c r="I5" s="1449"/>
      <c r="J5" s="1450"/>
    </row>
    <row r="6" spans="1:11" ht="12.75">
      <c r="A6" s="1956" t="s">
        <v>54</v>
      </c>
      <c r="B6" s="1958" t="s">
        <v>326</v>
      </c>
      <c r="C6" s="1960" t="s">
        <v>4131</v>
      </c>
      <c r="D6" s="1961"/>
      <c r="E6" s="1961"/>
      <c r="F6" s="1962"/>
      <c r="G6" s="1960" t="s">
        <v>4071</v>
      </c>
      <c r="H6" s="1961"/>
      <c r="I6" s="1961"/>
      <c r="J6" s="1962"/>
    </row>
    <row r="7" spans="1:11" ht="56.25">
      <c r="A7" s="1957"/>
      <c r="B7" s="1959"/>
      <c r="C7" s="1453" t="s">
        <v>15</v>
      </c>
      <c r="D7" s="1454" t="s">
        <v>51</v>
      </c>
      <c r="E7" s="1454" t="s">
        <v>52</v>
      </c>
      <c r="F7" s="1150" t="s">
        <v>1780</v>
      </c>
      <c r="G7" s="1453" t="s">
        <v>15</v>
      </c>
      <c r="H7" s="1454" t="s">
        <v>51</v>
      </c>
      <c r="I7" s="1454" t="s">
        <v>52</v>
      </c>
      <c r="J7" s="1150" t="s">
        <v>1781</v>
      </c>
    </row>
    <row r="8" spans="1:11" ht="12.75">
      <c r="A8" s="1455" t="s">
        <v>335</v>
      </c>
      <c r="B8" s="1456"/>
      <c r="C8" s="1457"/>
      <c r="D8" s="1458"/>
      <c r="E8" s="1458"/>
      <c r="F8" s="1459"/>
      <c r="G8" s="1457"/>
      <c r="H8" s="1458"/>
      <c r="I8" s="1458"/>
      <c r="J8" s="1459"/>
    </row>
    <row r="9" spans="1:11" ht="25.5">
      <c r="A9" s="1156" t="s">
        <v>3770</v>
      </c>
      <c r="B9" s="932" t="s">
        <v>3771</v>
      </c>
      <c r="C9" s="1460">
        <f>2+72+20</f>
        <v>94</v>
      </c>
      <c r="D9" s="1461">
        <f>4290+138380.09+32560</f>
        <v>175230.09</v>
      </c>
      <c r="E9" s="1461">
        <f>D9/C9</f>
        <v>1864.1498936170212</v>
      </c>
      <c r="F9" s="1462" t="s">
        <v>4132</v>
      </c>
      <c r="G9" s="1463">
        <v>110</v>
      </c>
      <c r="H9" s="1464">
        <f>I9*G9</f>
        <v>214500</v>
      </c>
      <c r="I9" s="1464">
        <v>1950</v>
      </c>
      <c r="J9" s="1462" t="s">
        <v>3772</v>
      </c>
    </row>
    <row r="10" spans="1:11" ht="25.5">
      <c r="A10" s="1156" t="s">
        <v>3770</v>
      </c>
      <c r="B10" s="932" t="s">
        <v>3773</v>
      </c>
      <c r="C10" s="1460">
        <v>3</v>
      </c>
      <c r="D10" s="1461">
        <v>7007</v>
      </c>
      <c r="E10" s="1461">
        <f>D10/C10</f>
        <v>2335.6666666666665</v>
      </c>
      <c r="F10" s="1462" t="s">
        <v>3779</v>
      </c>
      <c r="G10" s="1463">
        <v>15</v>
      </c>
      <c r="H10" s="1464">
        <f t="shared" ref="H10:H17" si="0">G10*I10</f>
        <v>37950</v>
      </c>
      <c r="I10" s="1464">
        <v>2530</v>
      </c>
      <c r="J10" s="1462" t="s">
        <v>3775</v>
      </c>
    </row>
    <row r="11" spans="1:11" ht="25.5">
      <c r="A11" s="1156" t="s">
        <v>3770</v>
      </c>
      <c r="B11" s="932" t="s">
        <v>3776</v>
      </c>
      <c r="C11" s="1460">
        <v>4</v>
      </c>
      <c r="D11" s="1461">
        <f>8910+2585</f>
        <v>11495</v>
      </c>
      <c r="E11" s="1461">
        <f t="shared" ref="E11:E17" si="1">D11/C11</f>
        <v>2873.75</v>
      </c>
      <c r="F11" s="1462" t="s">
        <v>3808</v>
      </c>
      <c r="G11" s="1463">
        <v>2</v>
      </c>
      <c r="H11" s="1464">
        <f t="shared" si="0"/>
        <v>7480</v>
      </c>
      <c r="I11" s="1464">
        <v>3740</v>
      </c>
      <c r="J11" s="1462" t="s">
        <v>3777</v>
      </c>
    </row>
    <row r="12" spans="1:11" ht="25.5">
      <c r="A12" s="1156" t="s">
        <v>3770</v>
      </c>
      <c r="B12" s="932" t="s">
        <v>3778</v>
      </c>
      <c r="C12" s="1460"/>
      <c r="D12" s="1461"/>
      <c r="E12" s="1461"/>
      <c r="F12" s="1462"/>
      <c r="G12" s="1463">
        <v>1</v>
      </c>
      <c r="H12" s="1464">
        <f t="shared" si="0"/>
        <v>1950</v>
      </c>
      <c r="I12" s="1464">
        <v>1950</v>
      </c>
      <c r="J12" s="1462" t="s">
        <v>3780</v>
      </c>
    </row>
    <row r="13" spans="1:11" ht="25.5">
      <c r="A13" s="1156" t="s">
        <v>3770</v>
      </c>
      <c r="B13" s="932" t="s">
        <v>4133</v>
      </c>
      <c r="C13" s="1460"/>
      <c r="D13" s="1461"/>
      <c r="E13" s="1461"/>
      <c r="F13" s="1462"/>
      <c r="G13" s="1463">
        <v>2</v>
      </c>
      <c r="H13" s="1464">
        <f t="shared" si="0"/>
        <v>48000</v>
      </c>
      <c r="I13" s="1464">
        <v>24000</v>
      </c>
      <c r="J13" s="1462" t="s">
        <v>3777</v>
      </c>
    </row>
    <row r="14" spans="1:11" ht="12.75">
      <c r="A14" s="1156" t="s">
        <v>4134</v>
      </c>
      <c r="B14" s="932" t="s">
        <v>4135</v>
      </c>
      <c r="C14" s="1460"/>
      <c r="D14" s="1461"/>
      <c r="E14" s="1461"/>
      <c r="F14" s="1462"/>
      <c r="G14" s="1463">
        <v>2</v>
      </c>
      <c r="H14" s="1464">
        <f t="shared" si="0"/>
        <v>112000</v>
      </c>
      <c r="I14" s="1464">
        <v>56000</v>
      </c>
      <c r="J14" s="1462"/>
    </row>
    <row r="15" spans="1:11" ht="12.75">
      <c r="A15" s="1465" t="s">
        <v>3781</v>
      </c>
      <c r="B15" s="1466" t="s">
        <v>3782</v>
      </c>
      <c r="C15" s="1460">
        <v>6</v>
      </c>
      <c r="D15" s="1461">
        <f>136867.5+91245+45650</f>
        <v>273762.5</v>
      </c>
      <c r="E15" s="1461">
        <f t="shared" si="1"/>
        <v>45627.083333333336</v>
      </c>
      <c r="F15" s="1462"/>
      <c r="G15" s="1463"/>
      <c r="H15" s="1464"/>
      <c r="I15" s="1464"/>
      <c r="J15" s="1462"/>
      <c r="K15" s="1448" t="s">
        <v>4136</v>
      </c>
    </row>
    <row r="16" spans="1:11" ht="12.75">
      <c r="A16" s="1156" t="s">
        <v>3783</v>
      </c>
      <c r="B16" s="932" t="s">
        <v>3784</v>
      </c>
      <c r="C16" s="1460">
        <v>15</v>
      </c>
      <c r="D16" s="1461">
        <f>83769.82+29559.77</f>
        <v>113329.59000000001</v>
      </c>
      <c r="E16" s="1461">
        <f t="shared" si="1"/>
        <v>7555.3060000000005</v>
      </c>
      <c r="F16" s="1462"/>
      <c r="G16" s="1463">
        <v>15</v>
      </c>
      <c r="H16" s="1464">
        <f>I16*G16</f>
        <v>115500</v>
      </c>
      <c r="I16" s="1464">
        <v>7700</v>
      </c>
      <c r="J16" s="1462"/>
    </row>
    <row r="17" spans="1:10" ht="12.75">
      <c r="A17" s="1156" t="s">
        <v>3785</v>
      </c>
      <c r="B17" s="932" t="s">
        <v>3786</v>
      </c>
      <c r="C17" s="1460">
        <f>182+252+132</f>
        <v>566</v>
      </c>
      <c r="D17" s="1461">
        <f>93843.75+129979.52+68361</f>
        <v>292184.27</v>
      </c>
      <c r="E17" s="1461">
        <f t="shared" si="1"/>
        <v>516.22662544169611</v>
      </c>
      <c r="F17" s="1462"/>
      <c r="G17" s="1463">
        <v>560</v>
      </c>
      <c r="H17" s="1464">
        <f t="shared" si="0"/>
        <v>336000</v>
      </c>
      <c r="I17" s="1464">
        <v>600</v>
      </c>
      <c r="J17" s="1462"/>
    </row>
    <row r="18" spans="1:10" ht="16.5" customHeight="1">
      <c r="A18" s="1455"/>
      <c r="B18" s="1467"/>
      <c r="C18" s="1468"/>
      <c r="D18" s="1469">
        <f>SUM(D9:D17)</f>
        <v>873008.45</v>
      </c>
      <c r="E18" s="1470"/>
      <c r="F18" s="1459"/>
      <c r="G18" s="1457"/>
      <c r="H18" s="1469">
        <f>SUM(H9:H17)</f>
        <v>873380</v>
      </c>
      <c r="I18" s="1470"/>
      <c r="J18" s="1459"/>
    </row>
    <row r="19" spans="1:10" ht="12.75">
      <c r="A19" s="1471" t="s">
        <v>336</v>
      </c>
      <c r="B19" s="1151"/>
      <c r="C19" s="1472"/>
      <c r="D19" s="1473"/>
      <c r="E19" s="1473"/>
      <c r="F19" s="1474"/>
      <c r="G19" s="1472"/>
      <c r="H19" s="1473"/>
      <c r="I19" s="1473"/>
      <c r="J19" s="1474"/>
    </row>
    <row r="20" spans="1:10" ht="12.75">
      <c r="A20" s="1471" t="s">
        <v>3787</v>
      </c>
      <c r="B20" s="1151"/>
      <c r="C20" s="1472"/>
      <c r="D20" s="1475"/>
      <c r="E20" s="1473"/>
      <c r="F20" s="1474"/>
      <c r="G20" s="1472"/>
      <c r="H20" s="1473"/>
      <c r="I20" s="1473"/>
      <c r="J20" s="1474"/>
    </row>
    <row r="21" spans="1:10" ht="12.75">
      <c r="A21" s="1471" t="s">
        <v>337</v>
      </c>
      <c r="B21" s="1151"/>
      <c r="C21" s="1472"/>
      <c r="D21" s="1475"/>
      <c r="E21" s="1473"/>
      <c r="F21" s="1474"/>
      <c r="G21" s="1472"/>
      <c r="H21" s="1473"/>
      <c r="I21" s="1473"/>
      <c r="J21" s="1474"/>
    </row>
    <row r="22" spans="1:10" ht="12.75">
      <c r="A22" s="1471" t="s">
        <v>338</v>
      </c>
      <c r="B22" s="1151"/>
      <c r="C22" s="1472"/>
      <c r="D22" s="1475"/>
      <c r="E22" s="1473"/>
      <c r="F22" s="1474"/>
      <c r="G22" s="1472"/>
      <c r="H22" s="1473"/>
      <c r="I22" s="1473"/>
      <c r="J22" s="1474"/>
    </row>
    <row r="23" spans="1:10" ht="12.75">
      <c r="A23" s="1471" t="s">
        <v>339</v>
      </c>
      <c r="B23" s="1151"/>
      <c r="C23" s="1472"/>
      <c r="D23" s="1475"/>
      <c r="E23" s="1473"/>
      <c r="F23" s="1474"/>
      <c r="G23" s="1472"/>
      <c r="H23" s="1473"/>
      <c r="I23" s="1473"/>
      <c r="J23" s="1474"/>
    </row>
    <row r="24" spans="1:10" ht="12.75">
      <c r="A24" s="1471" t="s">
        <v>340</v>
      </c>
      <c r="B24" s="1151"/>
      <c r="C24" s="1472"/>
      <c r="D24" s="1475"/>
      <c r="E24" s="1473"/>
      <c r="F24" s="1474"/>
      <c r="G24" s="1472"/>
      <c r="H24" s="1473"/>
      <c r="I24" s="1473"/>
      <c r="J24" s="1474"/>
    </row>
    <row r="25" spans="1:10" ht="14.25">
      <c r="A25" s="1476" t="s">
        <v>341</v>
      </c>
      <c r="B25" s="1152"/>
      <c r="C25" s="1472"/>
      <c r="D25" s="1475"/>
      <c r="E25" s="1473"/>
      <c r="F25" s="1474"/>
      <c r="G25" s="1472"/>
      <c r="H25" s="1473"/>
      <c r="I25" s="1473"/>
      <c r="J25" s="1474"/>
    </row>
    <row r="26" spans="1:10" ht="14.25">
      <c r="A26" s="1477" t="s">
        <v>342</v>
      </c>
      <c r="B26" s="1153"/>
      <c r="C26" s="1478"/>
      <c r="D26" s="1479"/>
      <c r="E26" s="1480"/>
      <c r="F26" s="1481"/>
      <c r="G26" s="1478"/>
      <c r="H26" s="1480"/>
      <c r="I26" s="1480"/>
      <c r="J26" s="1481"/>
    </row>
    <row r="27" spans="1:10" ht="22.5" customHeight="1" thickBot="1">
      <c r="A27" s="1482" t="s">
        <v>4137</v>
      </c>
      <c r="B27" s="1483" t="s">
        <v>3790</v>
      </c>
      <c r="C27" s="1463">
        <f>26+137</f>
        <v>163</v>
      </c>
      <c r="D27" s="1461">
        <f>87360+460320</f>
        <v>547680</v>
      </c>
      <c r="E27" s="1461">
        <f>D27/C27</f>
        <v>3360</v>
      </c>
      <c r="F27" s="1462"/>
      <c r="G27" s="1463">
        <v>209</v>
      </c>
      <c r="H27" s="1484">
        <f>G27*I27</f>
        <v>702240</v>
      </c>
      <c r="I27" s="1461">
        <v>3360</v>
      </c>
      <c r="J27" s="1462"/>
    </row>
    <row r="28" spans="1:10" ht="15" thickBot="1">
      <c r="A28" s="1485"/>
      <c r="B28" s="1486"/>
      <c r="C28" s="1487"/>
      <c r="D28" s="1488">
        <f>D27</f>
        <v>547680</v>
      </c>
      <c r="E28" s="1489"/>
      <c r="F28" s="1490"/>
      <c r="G28" s="1487"/>
      <c r="H28" s="1491">
        <f>SUM(H27)</f>
        <v>702240</v>
      </c>
      <c r="I28" s="1489"/>
      <c r="J28" s="1490"/>
    </row>
    <row r="29" spans="1:10" s="1452" customFormat="1" ht="22.5" customHeight="1">
      <c r="A29" s="1154" t="s">
        <v>4014</v>
      </c>
      <c r="B29" s="1155" t="s">
        <v>3791</v>
      </c>
      <c r="C29" s="1492">
        <v>9</v>
      </c>
      <c r="D29" s="1493">
        <f>34155+2*34155+204930</f>
        <v>307395</v>
      </c>
      <c r="E29" s="1493">
        <f>D29/C29</f>
        <v>34155</v>
      </c>
      <c r="F29" s="1494"/>
      <c r="G29" s="1492">
        <v>20</v>
      </c>
      <c r="H29" s="1493">
        <f>I29*G29</f>
        <v>683100</v>
      </c>
      <c r="I29" s="1493">
        <f>31050*1.1</f>
        <v>34155</v>
      </c>
      <c r="J29" s="1494"/>
    </row>
    <row r="30" spans="1:10" s="1452" customFormat="1" ht="21" customHeight="1">
      <c r="A30" s="1156" t="s">
        <v>4138</v>
      </c>
      <c r="B30" s="934" t="s">
        <v>4139</v>
      </c>
      <c r="C30" s="1463">
        <v>9</v>
      </c>
      <c r="D30" s="1461">
        <v>130680</v>
      </c>
      <c r="E30" s="1461">
        <f>D30/C30</f>
        <v>14520</v>
      </c>
      <c r="F30" s="1462"/>
      <c r="G30" s="1463">
        <v>20</v>
      </c>
      <c r="H30" s="1461">
        <f>I30*G30</f>
        <v>290400.00000000006</v>
      </c>
      <c r="I30" s="1461">
        <f>13200*1.1</f>
        <v>14520.000000000002</v>
      </c>
      <c r="J30" s="1462"/>
    </row>
    <row r="31" spans="1:10" s="1452" customFormat="1" ht="24" customHeight="1" thickBot="1">
      <c r="A31" s="1157" t="s">
        <v>4015</v>
      </c>
      <c r="B31" s="935" t="s">
        <v>4140</v>
      </c>
      <c r="C31" s="1495">
        <v>9</v>
      </c>
      <c r="D31" s="1484">
        <v>205425</v>
      </c>
      <c r="E31" s="1484">
        <f>D31/C31</f>
        <v>22825</v>
      </c>
      <c r="F31" s="1496"/>
      <c r="G31" s="1495">
        <v>20</v>
      </c>
      <c r="H31" s="1484">
        <f>I31*G31</f>
        <v>456500.00000000006</v>
      </c>
      <c r="I31" s="1484">
        <f>20750*1.1</f>
        <v>22825.000000000004</v>
      </c>
      <c r="J31" s="1496"/>
    </row>
    <row r="32" spans="1:10" s="1505" customFormat="1" ht="15.75" thickBot="1">
      <c r="A32" s="1497" t="s">
        <v>3792</v>
      </c>
      <c r="B32" s="1498" t="s">
        <v>4141</v>
      </c>
      <c r="C32" s="1499"/>
      <c r="D32" s="1500">
        <f>SUM(D29:D31)</f>
        <v>643500</v>
      </c>
      <c r="E32" s="1500"/>
      <c r="F32" s="1501" t="s">
        <v>3789</v>
      </c>
      <c r="G32" s="1502">
        <v>20</v>
      </c>
      <c r="H32" s="1503">
        <f>SUM(H29:H31)</f>
        <v>1430000</v>
      </c>
      <c r="I32" s="1503"/>
      <c r="J32" s="1504" t="s">
        <v>4142</v>
      </c>
    </row>
    <row r="33" spans="1:12" s="315" customFormat="1" ht="24.95" customHeight="1">
      <c r="A33" s="936" t="s">
        <v>4143</v>
      </c>
      <c r="B33" s="937" t="s">
        <v>4144</v>
      </c>
      <c r="C33" s="1506">
        <v>87</v>
      </c>
      <c r="D33" s="938">
        <f>1420265+5096245+154000+539000</f>
        <v>7209510</v>
      </c>
      <c r="E33" s="938">
        <f>D33/C33</f>
        <v>82867.931034482754</v>
      </c>
      <c r="F33" s="1507"/>
      <c r="G33" s="1508">
        <v>70</v>
      </c>
      <c r="H33" s="938">
        <f>G33*I33</f>
        <v>5848150</v>
      </c>
      <c r="I33" s="1158">
        <f>1.1*75950</f>
        <v>83545</v>
      </c>
      <c r="J33" s="1159"/>
    </row>
    <row r="34" spans="1:12" s="315" customFormat="1" ht="24.95" customHeight="1">
      <c r="A34" s="940" t="s">
        <v>4145</v>
      </c>
      <c r="B34" s="941" t="s">
        <v>4146</v>
      </c>
      <c r="C34" s="1509">
        <v>87</v>
      </c>
      <c r="D34" s="942">
        <f>78100+273350+739585+61*43505</f>
        <v>3744840</v>
      </c>
      <c r="E34" s="942">
        <f>D34/C34</f>
        <v>43044.137931034486</v>
      </c>
      <c r="F34" s="1510"/>
      <c r="G34" s="1511">
        <v>70</v>
      </c>
      <c r="H34" s="942">
        <f>G34*I34</f>
        <v>3045350</v>
      </c>
      <c r="I34" s="1160">
        <f>1.1*39550</f>
        <v>43505</v>
      </c>
      <c r="J34" s="1161"/>
    </row>
    <row r="35" spans="1:12" s="315" customFormat="1" ht="24.95" customHeight="1">
      <c r="A35" s="940" t="s">
        <v>4147</v>
      </c>
      <c r="B35" s="941" t="s">
        <v>4148</v>
      </c>
      <c r="C35" s="1509">
        <v>87</v>
      </c>
      <c r="D35" s="942">
        <f>47300+165550+140250+61*8250</f>
        <v>856350</v>
      </c>
      <c r="E35" s="942">
        <f>D35/C35</f>
        <v>9843.1034482758623</v>
      </c>
      <c r="F35" s="1510"/>
      <c r="G35" s="1511">
        <v>70</v>
      </c>
      <c r="H35" s="942">
        <f>G35*I35</f>
        <v>577500</v>
      </c>
      <c r="I35" s="1160">
        <f>1.1*7500</f>
        <v>8250</v>
      </c>
      <c r="J35" s="1161"/>
    </row>
    <row r="36" spans="1:12" s="315" customFormat="1" ht="24.95" customHeight="1">
      <c r="A36" s="940" t="s">
        <v>4149</v>
      </c>
      <c r="B36" s="941" t="s">
        <v>4150</v>
      </c>
      <c r="C36" s="1509">
        <v>87</v>
      </c>
      <c r="D36" s="942">
        <f>35200+123200+248710+61*14630</f>
        <v>1299540</v>
      </c>
      <c r="E36" s="942">
        <f>D36/C36</f>
        <v>14937.241379310344</v>
      </c>
      <c r="F36" s="1510"/>
      <c r="G36" s="1511">
        <v>70</v>
      </c>
      <c r="H36" s="942">
        <f>G36*I36</f>
        <v>1024100.0000000001</v>
      </c>
      <c r="I36" s="1160">
        <f>1.1*13300</f>
        <v>14630.000000000002</v>
      </c>
      <c r="J36" s="1161"/>
    </row>
    <row r="37" spans="1:12" s="315" customFormat="1" ht="26.25" thickBot="1">
      <c r="A37" s="1162" t="s">
        <v>4018</v>
      </c>
      <c r="B37" s="107" t="s">
        <v>4151</v>
      </c>
      <c r="C37" s="1512">
        <v>49</v>
      </c>
      <c r="D37" s="946">
        <f>5500+4400+12210+34*2035</f>
        <v>91300</v>
      </c>
      <c r="E37" s="946">
        <f>D37/C37</f>
        <v>1863.2653061224489</v>
      </c>
      <c r="F37" s="1513"/>
      <c r="G37" s="1514">
        <v>35</v>
      </c>
      <c r="H37" s="1163">
        <f>G37*I37</f>
        <v>71225.000000000015</v>
      </c>
      <c r="I37" s="1164">
        <f>1.1*1850</f>
        <v>2035.0000000000002</v>
      </c>
      <c r="J37" s="1165"/>
    </row>
    <row r="38" spans="1:12" s="1522" customFormat="1" ht="26.25" thickBot="1">
      <c r="A38" s="1515" t="s">
        <v>3792</v>
      </c>
      <c r="B38" s="1516" t="s">
        <v>3788</v>
      </c>
      <c r="C38" s="1517"/>
      <c r="D38" s="1518">
        <f>SUM(D33:D37)</f>
        <v>13201540</v>
      </c>
      <c r="E38" s="1518"/>
      <c r="F38" s="1519" t="s">
        <v>4152</v>
      </c>
      <c r="G38" s="1520">
        <v>70</v>
      </c>
      <c r="H38" s="1521">
        <f>SUM(H33:H37)</f>
        <v>10566325</v>
      </c>
      <c r="I38" s="1521"/>
      <c r="J38" s="1504" t="s">
        <v>4153</v>
      </c>
      <c r="L38" s="1523"/>
    </row>
    <row r="39" spans="1:12" s="315" customFormat="1" ht="18.75" customHeight="1">
      <c r="A39" s="936" t="s">
        <v>4014</v>
      </c>
      <c r="B39" s="937" t="s">
        <v>3793</v>
      </c>
      <c r="C39" s="1506">
        <v>33</v>
      </c>
      <c r="D39" s="938">
        <f>170775+16*34155+12*34155</f>
        <v>1127115</v>
      </c>
      <c r="E39" s="938">
        <f>D39/C39</f>
        <v>34155</v>
      </c>
      <c r="F39" s="1524"/>
      <c r="G39" s="1525">
        <v>38</v>
      </c>
      <c r="H39" s="938">
        <f>G39*I39</f>
        <v>1297890</v>
      </c>
      <c r="I39" s="939">
        <f>31050*1.1</f>
        <v>34155</v>
      </c>
      <c r="J39" s="1166"/>
    </row>
    <row r="40" spans="1:12" s="315" customFormat="1" ht="18.75" customHeight="1">
      <c r="A40" s="940" t="s">
        <v>4019</v>
      </c>
      <c r="B40" s="941" t="s">
        <v>3794</v>
      </c>
      <c r="C40" s="1509">
        <v>33</v>
      </c>
      <c r="D40" s="942">
        <f>217525+16*43505+12*43505</f>
        <v>1435665</v>
      </c>
      <c r="E40" s="942">
        <f>D40/C40</f>
        <v>43505</v>
      </c>
      <c r="F40" s="1526"/>
      <c r="G40" s="1286">
        <v>38</v>
      </c>
      <c r="H40" s="942">
        <f>G40*I40</f>
        <v>1653190</v>
      </c>
      <c r="I40" s="943">
        <f>39550*1.1</f>
        <v>43505</v>
      </c>
      <c r="J40" s="1167"/>
    </row>
    <row r="41" spans="1:12" s="315" customFormat="1" ht="18.75" customHeight="1">
      <c r="A41" s="940" t="s">
        <v>4016</v>
      </c>
      <c r="B41" s="941" t="s">
        <v>3795</v>
      </c>
      <c r="C41" s="1509">
        <v>33</v>
      </c>
      <c r="D41" s="942">
        <f>41250+16*8250+12*8250</f>
        <v>272250</v>
      </c>
      <c r="E41" s="942">
        <f>D41/C41</f>
        <v>8250</v>
      </c>
      <c r="F41" s="1526"/>
      <c r="G41" s="1286">
        <v>38</v>
      </c>
      <c r="H41" s="942">
        <f>G41*I41</f>
        <v>313500</v>
      </c>
      <c r="I41" s="943">
        <f>7500*1.1</f>
        <v>8250</v>
      </c>
      <c r="J41" s="1167"/>
    </row>
    <row r="42" spans="1:12" s="315" customFormat="1" ht="18.75" customHeight="1">
      <c r="A42" s="940" t="s">
        <v>4020</v>
      </c>
      <c r="B42" s="941" t="s">
        <v>3796</v>
      </c>
      <c r="C42" s="1509">
        <v>33</v>
      </c>
      <c r="D42" s="942">
        <f>72600+16*14520+12*14520</f>
        <v>479160</v>
      </c>
      <c r="E42" s="942">
        <f>D42/C42</f>
        <v>14520</v>
      </c>
      <c r="F42" s="1526"/>
      <c r="G42" s="1286">
        <v>38</v>
      </c>
      <c r="H42" s="942">
        <f>G42*I42</f>
        <v>551760.00000000012</v>
      </c>
      <c r="I42" s="943">
        <f>13200*1.1</f>
        <v>14520.000000000002</v>
      </c>
      <c r="J42" s="1167"/>
    </row>
    <row r="43" spans="1:12" s="315" customFormat="1" ht="18.75" customHeight="1" thickBot="1">
      <c r="A43" s="944" t="s">
        <v>4018</v>
      </c>
      <c r="B43" s="945" t="s">
        <v>3797</v>
      </c>
      <c r="C43" s="1512">
        <v>23</v>
      </c>
      <c r="D43" s="946">
        <f>6105+20*2035</f>
        <v>46805</v>
      </c>
      <c r="E43" s="946">
        <f>D43/C43</f>
        <v>2035</v>
      </c>
      <c r="F43" s="1527"/>
      <c r="G43" s="1528">
        <v>38</v>
      </c>
      <c r="H43" s="946">
        <f>G43*I43</f>
        <v>77330.000000000015</v>
      </c>
      <c r="I43" s="947">
        <f>1.1*1850</f>
        <v>2035.0000000000002</v>
      </c>
      <c r="J43" s="1168"/>
    </row>
    <row r="44" spans="1:12" s="315" customFormat="1" ht="13.5" thickBot="1">
      <c r="A44" s="1529" t="s">
        <v>3792</v>
      </c>
      <c r="B44" s="1530" t="s">
        <v>4154</v>
      </c>
      <c r="C44" s="1517"/>
      <c r="D44" s="1531">
        <f>SUM(D39:D43)</f>
        <v>3360995</v>
      </c>
      <c r="E44" s="1532"/>
      <c r="F44" s="1533">
        <v>33</v>
      </c>
      <c r="G44" s="1534">
        <v>38</v>
      </c>
      <c r="H44" s="1535">
        <f>SUM(H39:H43)</f>
        <v>3893670</v>
      </c>
      <c r="I44" s="1536"/>
      <c r="J44" s="1537">
        <v>38</v>
      </c>
    </row>
    <row r="45" spans="1:12" s="315" customFormat="1" ht="19.5" customHeight="1">
      <c r="A45" s="936" t="s">
        <v>4014</v>
      </c>
      <c r="B45" s="937" t="s">
        <v>3798</v>
      </c>
      <c r="C45" s="936">
        <v>19</v>
      </c>
      <c r="D45" s="938">
        <f>136620+12*34155+3*34155</f>
        <v>648945</v>
      </c>
      <c r="E45" s="1538">
        <f>D45/C45</f>
        <v>34155</v>
      </c>
      <c r="F45" s="1169"/>
      <c r="G45" s="1539">
        <v>20</v>
      </c>
      <c r="H45" s="938">
        <f t="shared" ref="H45:H52" si="2">G45*I45</f>
        <v>683100</v>
      </c>
      <c r="I45" s="1170">
        <f>31050*1.1</f>
        <v>34155</v>
      </c>
      <c r="J45" s="1171"/>
    </row>
    <row r="46" spans="1:12" s="315" customFormat="1" ht="17.25" customHeight="1">
      <c r="A46" s="940" t="s">
        <v>4021</v>
      </c>
      <c r="B46" s="941" t="s">
        <v>3799</v>
      </c>
      <c r="C46" s="940">
        <v>19</v>
      </c>
      <c r="D46" s="942">
        <f>97460+365475</f>
        <v>462935</v>
      </c>
      <c r="E46" s="1540">
        <f>D46/C46</f>
        <v>24365</v>
      </c>
      <c r="F46" s="1172"/>
      <c r="G46" s="1541">
        <v>20</v>
      </c>
      <c r="H46" s="942">
        <f t="shared" si="2"/>
        <v>487300.00000000006</v>
      </c>
      <c r="I46" s="1173">
        <f>22150*1.1</f>
        <v>24365.000000000004</v>
      </c>
      <c r="J46" s="1174"/>
    </row>
    <row r="47" spans="1:12" s="315" customFormat="1" ht="16.5" customHeight="1" thickBot="1">
      <c r="A47" s="1162" t="s">
        <v>4017</v>
      </c>
      <c r="B47" s="107" t="s">
        <v>3800</v>
      </c>
      <c r="C47" s="944">
        <v>19</v>
      </c>
      <c r="D47" s="946">
        <f>58520+3*14630+12*14630</f>
        <v>277970</v>
      </c>
      <c r="E47" s="1542">
        <f>D47/C47</f>
        <v>14630</v>
      </c>
      <c r="F47" s="1543"/>
      <c r="G47" s="1544">
        <v>20</v>
      </c>
      <c r="H47" s="1163">
        <f t="shared" si="2"/>
        <v>292600.00000000006</v>
      </c>
      <c r="I47" s="1175">
        <f>13300*1.1</f>
        <v>14630.000000000002</v>
      </c>
      <c r="J47" s="1176"/>
    </row>
    <row r="48" spans="1:12" s="315" customFormat="1" ht="26.25" thickBot="1">
      <c r="A48" s="1545" t="s">
        <v>3792</v>
      </c>
      <c r="B48" s="1546" t="s">
        <v>4155</v>
      </c>
      <c r="C48" s="1529"/>
      <c r="D48" s="1547">
        <f>SUM(D45:D47)</f>
        <v>1389850</v>
      </c>
      <c r="E48" s="1548"/>
      <c r="F48" s="1549">
        <v>19</v>
      </c>
      <c r="G48" s="1550">
        <v>20</v>
      </c>
      <c r="H48" s="1551">
        <f>SUM(H45:H47)</f>
        <v>1463000</v>
      </c>
      <c r="I48" s="1552"/>
      <c r="J48" s="1553">
        <v>20</v>
      </c>
    </row>
    <row r="49" spans="1:10" s="315" customFormat="1" ht="24.75" customHeight="1">
      <c r="A49" s="1177" t="s">
        <v>4022</v>
      </c>
      <c r="B49" s="1178" t="s">
        <v>3801</v>
      </c>
      <c r="C49" s="1506">
        <v>88</v>
      </c>
      <c r="D49" s="1158">
        <f>1179750+5741450</f>
        <v>6921200</v>
      </c>
      <c r="E49" s="1554">
        <f>D49/C49</f>
        <v>78650</v>
      </c>
      <c r="F49" s="1179"/>
      <c r="G49" s="1555">
        <v>86</v>
      </c>
      <c r="H49" s="1158">
        <f t="shared" si="2"/>
        <v>6763900</v>
      </c>
      <c r="I49" s="1170">
        <v>78650</v>
      </c>
      <c r="J49" s="1171"/>
    </row>
    <row r="50" spans="1:10" s="315" customFormat="1" ht="24.95" customHeight="1">
      <c r="A50" s="1180" t="s">
        <v>4023</v>
      </c>
      <c r="B50" s="1181" t="s">
        <v>3802</v>
      </c>
      <c r="C50" s="1509">
        <v>88</v>
      </c>
      <c r="D50" s="1160">
        <f>636900+3099580</f>
        <v>3736480</v>
      </c>
      <c r="E50" s="1556">
        <f>D50/C50</f>
        <v>42460</v>
      </c>
      <c r="F50" s="1182"/>
      <c r="G50" s="1557">
        <v>86</v>
      </c>
      <c r="H50" s="1160">
        <f t="shared" si="2"/>
        <v>3651560</v>
      </c>
      <c r="I50" s="1173">
        <v>42460</v>
      </c>
      <c r="J50" s="1174"/>
    </row>
    <row r="51" spans="1:10" s="315" customFormat="1" ht="24.95" customHeight="1">
      <c r="A51" s="1180" t="s">
        <v>4024</v>
      </c>
      <c r="B51" s="1181" t="s">
        <v>3803</v>
      </c>
      <c r="C51" s="1509">
        <v>88</v>
      </c>
      <c r="D51" s="1160">
        <f>377850+1838870</f>
        <v>2216720</v>
      </c>
      <c r="E51" s="1556">
        <f>D51/C51</f>
        <v>25190</v>
      </c>
      <c r="F51" s="1182"/>
      <c r="G51" s="1557">
        <v>86</v>
      </c>
      <c r="H51" s="1160">
        <f t="shared" si="2"/>
        <v>2166340</v>
      </c>
      <c r="I51" s="1173">
        <v>25190</v>
      </c>
      <c r="J51" s="1174"/>
    </row>
    <row r="52" spans="1:10" s="315" customFormat="1" ht="24.95" customHeight="1" thickBot="1">
      <c r="A52" s="1183" t="s">
        <v>3804</v>
      </c>
      <c r="B52" s="1184" t="s">
        <v>3805</v>
      </c>
      <c r="C52" s="1558"/>
      <c r="D52" s="1559">
        <v>0</v>
      </c>
      <c r="E52" s="1560"/>
      <c r="F52" s="1561"/>
      <c r="G52" s="1562">
        <v>15</v>
      </c>
      <c r="H52" s="1164">
        <f t="shared" si="2"/>
        <v>16500</v>
      </c>
      <c r="I52" s="1175">
        <f>1.1*1000</f>
        <v>1100</v>
      </c>
      <c r="J52" s="1176"/>
    </row>
    <row r="53" spans="1:10" s="315" customFormat="1" ht="26.25" thickBot="1">
      <c r="A53" s="1545" t="s">
        <v>3792</v>
      </c>
      <c r="B53" s="1546" t="s">
        <v>4156</v>
      </c>
      <c r="C53" s="1563"/>
      <c r="D53" s="1535">
        <f>SUM(D49:D52)</f>
        <v>12874400</v>
      </c>
      <c r="E53" s="1548"/>
      <c r="F53" s="1549">
        <v>88</v>
      </c>
      <c r="G53" s="1550">
        <v>86</v>
      </c>
      <c r="H53" s="1551">
        <f>SUM(H49:H52)</f>
        <v>12598300</v>
      </c>
      <c r="I53" s="1552"/>
      <c r="J53" s="1553">
        <v>86</v>
      </c>
    </row>
    <row r="54" spans="1:10" ht="22.5" customHeight="1" thickBot="1">
      <c r="A54" s="1564"/>
      <c r="B54" s="948"/>
      <c r="C54" s="1565"/>
      <c r="D54" s="1566"/>
      <c r="E54" s="1567"/>
      <c r="F54" s="1568"/>
      <c r="G54" s="1565"/>
      <c r="H54" s="1569">
        <f>H53+H48+H44+H38+H32+H28</f>
        <v>30653535</v>
      </c>
      <c r="I54" s="1570"/>
      <c r="J54" s="1568"/>
    </row>
    <row r="55" spans="1:10" ht="51.6" customHeight="1">
      <c r="A55" s="1571" t="s">
        <v>4157</v>
      </c>
      <c r="B55" s="934" t="s">
        <v>3806</v>
      </c>
      <c r="C55" s="1463">
        <v>14</v>
      </c>
      <c r="D55" s="1461">
        <v>1232000</v>
      </c>
      <c r="E55" s="1461">
        <f>D55/14</f>
        <v>88000</v>
      </c>
      <c r="F55" s="1462" t="s">
        <v>3774</v>
      </c>
      <c r="G55" s="1463">
        <v>14</v>
      </c>
      <c r="H55" s="1572">
        <f>G55*I55</f>
        <v>1232000</v>
      </c>
      <c r="I55" s="1464">
        <v>88000</v>
      </c>
      <c r="J55" s="1462" t="s">
        <v>3774</v>
      </c>
    </row>
    <row r="56" spans="1:10" ht="38.25">
      <c r="A56" s="1573" t="s">
        <v>4158</v>
      </c>
      <c r="B56" s="934" t="s">
        <v>3807</v>
      </c>
      <c r="C56" s="1463">
        <v>8</v>
      </c>
      <c r="D56" s="1461">
        <f>86900+555115+222046</f>
        <v>864061</v>
      </c>
      <c r="E56" s="1461">
        <f t="shared" ref="E56:E62" si="3">D56/C56</f>
        <v>108007.625</v>
      </c>
      <c r="F56" s="1462" t="s">
        <v>4159</v>
      </c>
      <c r="G56" s="1463">
        <v>8</v>
      </c>
      <c r="H56" s="1572">
        <f t="shared" ref="H56:H62" si="4">G56*I56</f>
        <v>704000</v>
      </c>
      <c r="I56" s="1464">
        <v>88000</v>
      </c>
      <c r="J56" s="1462" t="s">
        <v>4159</v>
      </c>
    </row>
    <row r="57" spans="1:10" ht="25.5">
      <c r="A57" s="1573" t="s">
        <v>3809</v>
      </c>
      <c r="B57" s="934" t="s">
        <v>3810</v>
      </c>
      <c r="C57" s="1463"/>
      <c r="D57" s="1461"/>
      <c r="E57" s="1461"/>
      <c r="F57" s="1462"/>
      <c r="G57" s="1463">
        <v>5</v>
      </c>
      <c r="H57" s="1572">
        <f t="shared" si="4"/>
        <v>1500</v>
      </c>
      <c r="I57" s="1464">
        <v>300</v>
      </c>
      <c r="J57" s="1462"/>
    </row>
    <row r="58" spans="1:10" ht="38.25">
      <c r="A58" s="1156" t="s">
        <v>3811</v>
      </c>
      <c r="B58" s="934" t="s">
        <v>3812</v>
      </c>
      <c r="C58" s="1463">
        <v>2</v>
      </c>
      <c r="D58" s="1461">
        <v>2310</v>
      </c>
      <c r="E58" s="1461">
        <f t="shared" si="3"/>
        <v>1155</v>
      </c>
      <c r="F58" s="1462"/>
      <c r="G58" s="1463">
        <v>12</v>
      </c>
      <c r="H58" s="1572">
        <f t="shared" si="4"/>
        <v>7200</v>
      </c>
      <c r="I58" s="1464">
        <v>600</v>
      </c>
      <c r="J58" s="1462"/>
    </row>
    <row r="59" spans="1:10" ht="25.5">
      <c r="A59" s="1156" t="s">
        <v>3811</v>
      </c>
      <c r="B59" s="934" t="s">
        <v>3813</v>
      </c>
      <c r="C59" s="1463">
        <v>11</v>
      </c>
      <c r="D59" s="1461">
        <f>227700+75900+61600+191400</f>
        <v>556600</v>
      </c>
      <c r="E59" s="1461">
        <f t="shared" si="3"/>
        <v>50600</v>
      </c>
      <c r="F59" s="1462"/>
      <c r="G59" s="1463">
        <v>10</v>
      </c>
      <c r="H59" s="1572">
        <f t="shared" si="4"/>
        <v>700000</v>
      </c>
      <c r="I59" s="1464">
        <v>70000</v>
      </c>
      <c r="J59" s="1462"/>
    </row>
    <row r="60" spans="1:10" ht="12.75">
      <c r="A60" s="1156" t="s">
        <v>3811</v>
      </c>
      <c r="B60" s="934" t="s">
        <v>3814</v>
      </c>
      <c r="C60" s="1463">
        <f>61+7</f>
        <v>68</v>
      </c>
      <c r="D60" s="1461">
        <f>92400+136400+39600+30800</f>
        <v>299200</v>
      </c>
      <c r="E60" s="1461">
        <f t="shared" si="3"/>
        <v>4400</v>
      </c>
      <c r="F60" s="1462"/>
      <c r="G60" s="1463">
        <v>70</v>
      </c>
      <c r="H60" s="1572">
        <f t="shared" si="4"/>
        <v>308000</v>
      </c>
      <c r="I60" s="1464">
        <v>4400</v>
      </c>
      <c r="J60" s="1462"/>
    </row>
    <row r="61" spans="1:10" ht="12.75">
      <c r="A61" s="1156" t="s">
        <v>3811</v>
      </c>
      <c r="B61" s="934" t="s">
        <v>3815</v>
      </c>
      <c r="C61" s="1463">
        <v>7</v>
      </c>
      <c r="D61" s="1461">
        <f>224400+37400</f>
        <v>261800</v>
      </c>
      <c r="E61" s="1461">
        <f t="shared" si="3"/>
        <v>37400</v>
      </c>
      <c r="F61" s="1462"/>
      <c r="G61" s="1463">
        <v>7</v>
      </c>
      <c r="H61" s="1572">
        <f t="shared" si="4"/>
        <v>261800</v>
      </c>
      <c r="I61" s="1464">
        <v>37400</v>
      </c>
      <c r="J61" s="1462"/>
    </row>
    <row r="62" spans="1:10" ht="25.5">
      <c r="A62" s="1156" t="s">
        <v>3811</v>
      </c>
      <c r="B62" s="934" t="s">
        <v>3816</v>
      </c>
      <c r="C62" s="1463">
        <v>10</v>
      </c>
      <c r="D62" s="1461">
        <f>132000+99000+112200+8800+22000</f>
        <v>374000</v>
      </c>
      <c r="E62" s="1461">
        <f t="shared" si="3"/>
        <v>37400</v>
      </c>
      <c r="F62" s="1462"/>
      <c r="G62" s="1463">
        <v>10</v>
      </c>
      <c r="H62" s="1572">
        <f t="shared" si="4"/>
        <v>370000</v>
      </c>
      <c r="I62" s="1464">
        <v>37000</v>
      </c>
      <c r="J62" s="1462"/>
    </row>
    <row r="63" spans="1:10" ht="12.75">
      <c r="A63" s="1156"/>
      <c r="B63" s="933"/>
      <c r="C63" s="1463"/>
      <c r="D63" s="1574">
        <f>SUM(D55:D62)</f>
        <v>3589971</v>
      </c>
      <c r="E63" s="1461"/>
      <c r="F63" s="1462"/>
      <c r="G63" s="1463"/>
      <c r="H63" s="1574">
        <f>SUM(H55:H62)</f>
        <v>3584500</v>
      </c>
      <c r="I63" s="1464"/>
      <c r="J63" s="1462"/>
    </row>
    <row r="64" spans="1:10" ht="14.25">
      <c r="A64" s="1575" t="s">
        <v>343</v>
      </c>
      <c r="B64" s="1576"/>
      <c r="C64" s="1577"/>
      <c r="D64" s="1578"/>
      <c r="E64" s="1578"/>
      <c r="F64" s="1579"/>
      <c r="G64" s="1577"/>
      <c r="H64" s="1578"/>
      <c r="I64" s="1578"/>
      <c r="J64" s="1579"/>
    </row>
    <row r="65" spans="1:10" ht="14.25">
      <c r="A65" s="1477" t="s">
        <v>3817</v>
      </c>
      <c r="B65" s="1153"/>
      <c r="C65" s="1478"/>
      <c r="D65" s="1479"/>
      <c r="E65" s="1480"/>
      <c r="F65" s="1481"/>
      <c r="G65" s="1478"/>
      <c r="H65" s="1480"/>
      <c r="I65" s="1480"/>
      <c r="J65" s="1481"/>
    </row>
    <row r="66" spans="1:10" ht="12.75">
      <c r="A66" s="1156" t="s">
        <v>3818</v>
      </c>
      <c r="B66" s="932" t="s">
        <v>4160</v>
      </c>
      <c r="C66" s="1460">
        <v>1</v>
      </c>
      <c r="D66" s="1461">
        <v>48400</v>
      </c>
      <c r="E66" s="1461">
        <v>48400</v>
      </c>
      <c r="F66" s="1462" t="s">
        <v>3780</v>
      </c>
      <c r="G66" s="1463">
        <v>8</v>
      </c>
      <c r="H66" s="1464">
        <v>433180</v>
      </c>
      <c r="I66" s="1464">
        <f>H66/G66</f>
        <v>54147.5</v>
      </c>
      <c r="J66" s="1462" t="s">
        <v>4159</v>
      </c>
    </row>
    <row r="67" spans="1:10" ht="12.75">
      <c r="A67" s="1156" t="s">
        <v>3818</v>
      </c>
      <c r="B67" s="932" t="s">
        <v>4161</v>
      </c>
      <c r="C67" s="1460">
        <v>3</v>
      </c>
      <c r="D67" s="1461">
        <f>235400+470800</f>
        <v>706200</v>
      </c>
      <c r="E67" s="1461">
        <f>D67/C67</f>
        <v>235400</v>
      </c>
      <c r="F67" s="1462" t="s">
        <v>3779</v>
      </c>
      <c r="G67" s="1463"/>
      <c r="H67" s="1464"/>
      <c r="I67" s="1464"/>
      <c r="J67" s="1462"/>
    </row>
    <row r="68" spans="1:10" ht="12.75">
      <c r="A68" s="1156"/>
      <c r="B68" s="933"/>
      <c r="C68" s="1463"/>
      <c r="D68" s="1580">
        <f>SUM(D66:D67)</f>
        <v>754600</v>
      </c>
      <c r="E68" s="1461"/>
      <c r="F68" s="1462"/>
      <c r="G68" s="1581"/>
      <c r="H68" s="1580">
        <f>SUM(H66:H67)</f>
        <v>433180</v>
      </c>
      <c r="I68" s="1464"/>
      <c r="J68" s="1462"/>
    </row>
    <row r="69" spans="1:10" ht="14.25">
      <c r="A69" s="1476" t="s">
        <v>344</v>
      </c>
      <c r="B69" s="1152"/>
      <c r="C69" s="1472"/>
      <c r="D69" s="1475"/>
      <c r="E69" s="1473"/>
      <c r="F69" s="1474"/>
      <c r="G69" s="1472"/>
      <c r="H69" s="1473"/>
      <c r="I69" s="1473"/>
      <c r="J69" s="1474"/>
    </row>
    <row r="70" spans="1:10" ht="13.5" thickBot="1">
      <c r="A70" s="1512" t="s">
        <v>87</v>
      </c>
      <c r="B70" s="1582"/>
      <c r="C70" s="1565"/>
      <c r="D70" s="1583"/>
      <c r="E70" s="1567"/>
      <c r="F70" s="1584"/>
      <c r="G70" s="1565"/>
      <c r="H70" s="1567"/>
      <c r="I70" s="1567"/>
      <c r="J70" s="1584"/>
    </row>
    <row r="71" spans="1:10" ht="42" customHeight="1">
      <c r="A71" s="1585"/>
      <c r="B71" s="1585"/>
      <c r="C71" s="1586"/>
      <c r="D71" s="1587"/>
      <c r="E71" s="1587"/>
      <c r="F71" s="1588"/>
      <c r="G71" s="1586"/>
      <c r="H71" s="1589"/>
      <c r="I71" s="1590"/>
      <c r="J71" s="1588"/>
    </row>
    <row r="72" spans="1:10" ht="25.5">
      <c r="A72" s="1585"/>
      <c r="B72" s="1591" t="s">
        <v>4025</v>
      </c>
      <c r="C72" s="1592" t="s">
        <v>4026</v>
      </c>
      <c r="D72" s="1963" t="s">
        <v>4162</v>
      </c>
      <c r="E72" s="1963"/>
      <c r="F72" s="1964" t="s">
        <v>4027</v>
      </c>
      <c r="G72" s="1964"/>
      <c r="H72" s="1589"/>
      <c r="I72" s="1590"/>
      <c r="J72" s="1588"/>
    </row>
    <row r="73" spans="1:10" ht="31.5">
      <c r="B73" s="1594" t="s">
        <v>3819</v>
      </c>
      <c r="C73" s="1595">
        <v>1622000</v>
      </c>
      <c r="D73" s="1953">
        <f>D18+D68</f>
        <v>1627608.45</v>
      </c>
      <c r="E73" s="1953"/>
      <c r="F73" s="1954">
        <f>H18+H68</f>
        <v>1306560</v>
      </c>
      <c r="G73" s="1954"/>
      <c r="H73" s="1448" t="s">
        <v>4136</v>
      </c>
      <c r="I73" s="1596"/>
      <c r="J73" s="1448"/>
    </row>
    <row r="74" spans="1:10" ht="31.5">
      <c r="B74" s="1594" t="s">
        <v>3820</v>
      </c>
      <c r="C74" s="1595">
        <v>30656000</v>
      </c>
      <c r="D74" s="1953">
        <f>D28+D32+D38+D44+D48+D53</f>
        <v>32017965</v>
      </c>
      <c r="E74" s="1953"/>
      <c r="F74" s="1955">
        <f>H54</f>
        <v>30653535</v>
      </c>
      <c r="G74" s="1955"/>
      <c r="I74" s="1596"/>
      <c r="J74" s="1448"/>
    </row>
    <row r="75" spans="1:10" ht="42" customHeight="1">
      <c r="B75" s="1594" t="s">
        <v>3821</v>
      </c>
      <c r="C75" s="1595">
        <v>3188000</v>
      </c>
      <c r="D75" s="1953">
        <f>D63</f>
        <v>3589971</v>
      </c>
      <c r="E75" s="1953"/>
      <c r="F75" s="1955">
        <f>H63</f>
        <v>3584500</v>
      </c>
      <c r="G75" s="1955"/>
      <c r="H75" s="1597"/>
      <c r="I75" s="1596"/>
      <c r="J75" s="1448"/>
    </row>
    <row r="76" spans="1:10">
      <c r="C76" s="1448"/>
      <c r="D76" s="1598"/>
      <c r="E76" s="1598"/>
      <c r="H76" s="1597"/>
    </row>
    <row r="78" spans="1:10" ht="13.15" customHeight="1">
      <c r="A78" s="1951"/>
      <c r="B78" s="1951"/>
      <c r="C78" s="1951"/>
      <c r="D78" s="1951"/>
      <c r="E78" s="1951"/>
      <c r="F78" s="1951"/>
      <c r="G78" s="1951"/>
      <c r="H78" s="1951"/>
      <c r="I78" s="1951"/>
      <c r="J78" s="1951"/>
    </row>
    <row r="79" spans="1:10" ht="30" customHeight="1">
      <c r="B79" s="1952" t="s">
        <v>4163</v>
      </c>
      <c r="C79" s="1952"/>
      <c r="D79" s="1952"/>
      <c r="E79" s="1952"/>
      <c r="F79" s="1952"/>
      <c r="G79" s="1952"/>
    </row>
  </sheetData>
  <mergeCells count="14">
    <mergeCell ref="A6:A7"/>
    <mergeCell ref="B6:B7"/>
    <mergeCell ref="C6:F6"/>
    <mergeCell ref="G6:J6"/>
    <mergeCell ref="D72:E72"/>
    <mergeCell ref="F72:G72"/>
    <mergeCell ref="A78:J78"/>
    <mergeCell ref="B79:G79"/>
    <mergeCell ref="D73:E73"/>
    <mergeCell ref="F73:G73"/>
    <mergeCell ref="D74:E74"/>
    <mergeCell ref="F74:G74"/>
    <mergeCell ref="D75:E75"/>
    <mergeCell ref="F75:G75"/>
  </mergeCells>
  <pageMargins left="0.7" right="0.7" top="0.75" bottom="0.75" header="0.3" footer="0.3"/>
  <pageSetup paperSize="9" scale="5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K64" sqref="K64"/>
    </sheetView>
  </sheetViews>
  <sheetFormatPr defaultRowHeight="11.25"/>
  <cols>
    <col min="1" max="1" width="9.140625" style="1197"/>
    <col min="2" max="2" width="45.85546875" style="1197" customWidth="1"/>
    <col min="3" max="3" width="22.7109375" style="1197" customWidth="1"/>
    <col min="4" max="4" width="22.5703125" style="1197" customWidth="1"/>
    <col min="5" max="5" width="9.140625" style="1197"/>
    <col min="6" max="6" width="13.7109375" style="1197" bestFit="1" customWidth="1"/>
    <col min="7" max="257" width="9.140625" style="1197"/>
    <col min="258" max="258" width="45.85546875" style="1197" customWidth="1"/>
    <col min="259" max="259" width="22.7109375" style="1197" customWidth="1"/>
    <col min="260" max="260" width="22.5703125" style="1197" customWidth="1"/>
    <col min="261" max="261" width="9.140625" style="1197"/>
    <col min="262" max="262" width="13.7109375" style="1197" bestFit="1" customWidth="1"/>
    <col min="263" max="513" width="9.140625" style="1197"/>
    <col min="514" max="514" width="45.85546875" style="1197" customWidth="1"/>
    <col min="515" max="515" width="22.7109375" style="1197" customWidth="1"/>
    <col min="516" max="516" width="22.5703125" style="1197" customWidth="1"/>
    <col min="517" max="517" width="9.140625" style="1197"/>
    <col min="518" max="518" width="13.7109375" style="1197" bestFit="1" customWidth="1"/>
    <col min="519" max="769" width="9.140625" style="1197"/>
    <col min="770" max="770" width="45.85546875" style="1197" customWidth="1"/>
    <col min="771" max="771" width="22.7109375" style="1197" customWidth="1"/>
    <col min="772" max="772" width="22.5703125" style="1197" customWidth="1"/>
    <col min="773" max="773" width="9.140625" style="1197"/>
    <col min="774" max="774" width="13.7109375" style="1197" bestFit="1" customWidth="1"/>
    <col min="775" max="1025" width="9.140625" style="1197"/>
    <col min="1026" max="1026" width="45.85546875" style="1197" customWidth="1"/>
    <col min="1027" max="1027" width="22.7109375" style="1197" customWidth="1"/>
    <col min="1028" max="1028" width="22.5703125" style="1197" customWidth="1"/>
    <col min="1029" max="1029" width="9.140625" style="1197"/>
    <col min="1030" max="1030" width="13.7109375" style="1197" bestFit="1" customWidth="1"/>
    <col min="1031" max="1281" width="9.140625" style="1197"/>
    <col min="1282" max="1282" width="45.85546875" style="1197" customWidth="1"/>
    <col min="1283" max="1283" width="22.7109375" style="1197" customWidth="1"/>
    <col min="1284" max="1284" width="22.5703125" style="1197" customWidth="1"/>
    <col min="1285" max="1285" width="9.140625" style="1197"/>
    <col min="1286" max="1286" width="13.7109375" style="1197" bestFit="1" customWidth="1"/>
    <col min="1287" max="1537" width="9.140625" style="1197"/>
    <col min="1538" max="1538" width="45.85546875" style="1197" customWidth="1"/>
    <col min="1539" max="1539" width="22.7109375" style="1197" customWidth="1"/>
    <col min="1540" max="1540" width="22.5703125" style="1197" customWidth="1"/>
    <col min="1541" max="1541" width="9.140625" style="1197"/>
    <col min="1542" max="1542" width="13.7109375" style="1197" bestFit="1" customWidth="1"/>
    <col min="1543" max="1793" width="9.140625" style="1197"/>
    <col min="1794" max="1794" width="45.85546875" style="1197" customWidth="1"/>
    <col min="1795" max="1795" width="22.7109375" style="1197" customWidth="1"/>
    <col min="1796" max="1796" width="22.5703125" style="1197" customWidth="1"/>
    <col min="1797" max="1797" width="9.140625" style="1197"/>
    <col min="1798" max="1798" width="13.7109375" style="1197" bestFit="1" customWidth="1"/>
    <col min="1799" max="2049" width="9.140625" style="1197"/>
    <col min="2050" max="2050" width="45.85546875" style="1197" customWidth="1"/>
    <col min="2051" max="2051" width="22.7109375" style="1197" customWidth="1"/>
    <col min="2052" max="2052" width="22.5703125" style="1197" customWidth="1"/>
    <col min="2053" max="2053" width="9.140625" style="1197"/>
    <col min="2054" max="2054" width="13.7109375" style="1197" bestFit="1" customWidth="1"/>
    <col min="2055" max="2305" width="9.140625" style="1197"/>
    <col min="2306" max="2306" width="45.85546875" style="1197" customWidth="1"/>
    <col min="2307" max="2307" width="22.7109375" style="1197" customWidth="1"/>
    <col min="2308" max="2308" width="22.5703125" style="1197" customWidth="1"/>
    <col min="2309" max="2309" width="9.140625" style="1197"/>
    <col min="2310" max="2310" width="13.7109375" style="1197" bestFit="1" customWidth="1"/>
    <col min="2311" max="2561" width="9.140625" style="1197"/>
    <col min="2562" max="2562" width="45.85546875" style="1197" customWidth="1"/>
    <col min="2563" max="2563" width="22.7109375" style="1197" customWidth="1"/>
    <col min="2564" max="2564" width="22.5703125" style="1197" customWidth="1"/>
    <col min="2565" max="2565" width="9.140625" style="1197"/>
    <col min="2566" max="2566" width="13.7109375" style="1197" bestFit="1" customWidth="1"/>
    <col min="2567" max="2817" width="9.140625" style="1197"/>
    <col min="2818" max="2818" width="45.85546875" style="1197" customWidth="1"/>
    <col min="2819" max="2819" width="22.7109375" style="1197" customWidth="1"/>
    <col min="2820" max="2820" width="22.5703125" style="1197" customWidth="1"/>
    <col min="2821" max="2821" width="9.140625" style="1197"/>
    <col min="2822" max="2822" width="13.7109375" style="1197" bestFit="1" customWidth="1"/>
    <col min="2823" max="3073" width="9.140625" style="1197"/>
    <col min="3074" max="3074" width="45.85546875" style="1197" customWidth="1"/>
    <col min="3075" max="3075" width="22.7109375" style="1197" customWidth="1"/>
    <col min="3076" max="3076" width="22.5703125" style="1197" customWidth="1"/>
    <col min="3077" max="3077" width="9.140625" style="1197"/>
    <col min="3078" max="3078" width="13.7109375" style="1197" bestFit="1" customWidth="1"/>
    <col min="3079" max="3329" width="9.140625" style="1197"/>
    <col min="3330" max="3330" width="45.85546875" style="1197" customWidth="1"/>
    <col min="3331" max="3331" width="22.7109375" style="1197" customWidth="1"/>
    <col min="3332" max="3332" width="22.5703125" style="1197" customWidth="1"/>
    <col min="3333" max="3333" width="9.140625" style="1197"/>
    <col min="3334" max="3334" width="13.7109375" style="1197" bestFit="1" customWidth="1"/>
    <col min="3335" max="3585" width="9.140625" style="1197"/>
    <col min="3586" max="3586" width="45.85546875" style="1197" customWidth="1"/>
    <col min="3587" max="3587" width="22.7109375" style="1197" customWidth="1"/>
    <col min="3588" max="3588" width="22.5703125" style="1197" customWidth="1"/>
    <col min="3589" max="3589" width="9.140625" style="1197"/>
    <col min="3590" max="3590" width="13.7109375" style="1197" bestFit="1" customWidth="1"/>
    <col min="3591" max="3841" width="9.140625" style="1197"/>
    <col min="3842" max="3842" width="45.85546875" style="1197" customWidth="1"/>
    <col min="3843" max="3843" width="22.7109375" style="1197" customWidth="1"/>
    <col min="3844" max="3844" width="22.5703125" style="1197" customWidth="1"/>
    <col min="3845" max="3845" width="9.140625" style="1197"/>
    <col min="3846" max="3846" width="13.7109375" style="1197" bestFit="1" customWidth="1"/>
    <col min="3847" max="4097" width="9.140625" style="1197"/>
    <col min="4098" max="4098" width="45.85546875" style="1197" customWidth="1"/>
    <col min="4099" max="4099" width="22.7109375" style="1197" customWidth="1"/>
    <col min="4100" max="4100" width="22.5703125" style="1197" customWidth="1"/>
    <col min="4101" max="4101" width="9.140625" style="1197"/>
    <col min="4102" max="4102" width="13.7109375" style="1197" bestFit="1" customWidth="1"/>
    <col min="4103" max="4353" width="9.140625" style="1197"/>
    <col min="4354" max="4354" width="45.85546875" style="1197" customWidth="1"/>
    <col min="4355" max="4355" width="22.7109375" style="1197" customWidth="1"/>
    <col min="4356" max="4356" width="22.5703125" style="1197" customWidth="1"/>
    <col min="4357" max="4357" width="9.140625" style="1197"/>
    <col min="4358" max="4358" width="13.7109375" style="1197" bestFit="1" customWidth="1"/>
    <col min="4359" max="4609" width="9.140625" style="1197"/>
    <col min="4610" max="4610" width="45.85546875" style="1197" customWidth="1"/>
    <col min="4611" max="4611" width="22.7109375" style="1197" customWidth="1"/>
    <col min="4612" max="4612" width="22.5703125" style="1197" customWidth="1"/>
    <col min="4613" max="4613" width="9.140625" style="1197"/>
    <col min="4614" max="4614" width="13.7109375" style="1197" bestFit="1" customWidth="1"/>
    <col min="4615" max="4865" width="9.140625" style="1197"/>
    <col min="4866" max="4866" width="45.85546875" style="1197" customWidth="1"/>
    <col min="4867" max="4867" width="22.7109375" style="1197" customWidth="1"/>
    <col min="4868" max="4868" width="22.5703125" style="1197" customWidth="1"/>
    <col min="4869" max="4869" width="9.140625" style="1197"/>
    <col min="4870" max="4870" width="13.7109375" style="1197" bestFit="1" customWidth="1"/>
    <col min="4871" max="5121" width="9.140625" style="1197"/>
    <col min="5122" max="5122" width="45.85546875" style="1197" customWidth="1"/>
    <col min="5123" max="5123" width="22.7109375" style="1197" customWidth="1"/>
    <col min="5124" max="5124" width="22.5703125" style="1197" customWidth="1"/>
    <col min="5125" max="5125" width="9.140625" style="1197"/>
    <col min="5126" max="5126" width="13.7109375" style="1197" bestFit="1" customWidth="1"/>
    <col min="5127" max="5377" width="9.140625" style="1197"/>
    <col min="5378" max="5378" width="45.85546875" style="1197" customWidth="1"/>
    <col min="5379" max="5379" width="22.7109375" style="1197" customWidth="1"/>
    <col min="5380" max="5380" width="22.5703125" style="1197" customWidth="1"/>
    <col min="5381" max="5381" width="9.140625" style="1197"/>
    <col min="5382" max="5382" width="13.7109375" style="1197" bestFit="1" customWidth="1"/>
    <col min="5383" max="5633" width="9.140625" style="1197"/>
    <col min="5634" max="5634" width="45.85546875" style="1197" customWidth="1"/>
    <col min="5635" max="5635" width="22.7109375" style="1197" customWidth="1"/>
    <col min="5636" max="5636" width="22.5703125" style="1197" customWidth="1"/>
    <col min="5637" max="5637" width="9.140625" style="1197"/>
    <col min="5638" max="5638" width="13.7109375" style="1197" bestFit="1" customWidth="1"/>
    <col min="5639" max="5889" width="9.140625" style="1197"/>
    <col min="5890" max="5890" width="45.85546875" style="1197" customWidth="1"/>
    <col min="5891" max="5891" width="22.7109375" style="1197" customWidth="1"/>
    <col min="5892" max="5892" width="22.5703125" style="1197" customWidth="1"/>
    <col min="5893" max="5893" width="9.140625" style="1197"/>
    <col min="5894" max="5894" width="13.7109375" style="1197" bestFit="1" customWidth="1"/>
    <col min="5895" max="6145" width="9.140625" style="1197"/>
    <col min="6146" max="6146" width="45.85546875" style="1197" customWidth="1"/>
    <col min="6147" max="6147" width="22.7109375" style="1197" customWidth="1"/>
    <col min="6148" max="6148" width="22.5703125" style="1197" customWidth="1"/>
    <col min="6149" max="6149" width="9.140625" style="1197"/>
    <col min="6150" max="6150" width="13.7109375" style="1197" bestFit="1" customWidth="1"/>
    <col min="6151" max="6401" width="9.140625" style="1197"/>
    <col min="6402" max="6402" width="45.85546875" style="1197" customWidth="1"/>
    <col min="6403" max="6403" width="22.7109375" style="1197" customWidth="1"/>
    <col min="6404" max="6404" width="22.5703125" style="1197" customWidth="1"/>
    <col min="6405" max="6405" width="9.140625" style="1197"/>
    <col min="6406" max="6406" width="13.7109375" style="1197" bestFit="1" customWidth="1"/>
    <col min="6407" max="6657" width="9.140625" style="1197"/>
    <col min="6658" max="6658" width="45.85546875" style="1197" customWidth="1"/>
    <col min="6659" max="6659" width="22.7109375" style="1197" customWidth="1"/>
    <col min="6660" max="6660" width="22.5703125" style="1197" customWidth="1"/>
    <col min="6661" max="6661" width="9.140625" style="1197"/>
    <col min="6662" max="6662" width="13.7109375" style="1197" bestFit="1" customWidth="1"/>
    <col min="6663" max="6913" width="9.140625" style="1197"/>
    <col min="6914" max="6914" width="45.85546875" style="1197" customWidth="1"/>
    <col min="6915" max="6915" width="22.7109375" style="1197" customWidth="1"/>
    <col min="6916" max="6916" width="22.5703125" style="1197" customWidth="1"/>
    <col min="6917" max="6917" width="9.140625" style="1197"/>
    <col min="6918" max="6918" width="13.7109375" style="1197" bestFit="1" customWidth="1"/>
    <col min="6919" max="7169" width="9.140625" style="1197"/>
    <col min="7170" max="7170" width="45.85546875" style="1197" customWidth="1"/>
    <col min="7171" max="7171" width="22.7109375" style="1197" customWidth="1"/>
    <col min="7172" max="7172" width="22.5703125" style="1197" customWidth="1"/>
    <col min="7173" max="7173" width="9.140625" style="1197"/>
    <col min="7174" max="7174" width="13.7109375" style="1197" bestFit="1" customWidth="1"/>
    <col min="7175" max="7425" width="9.140625" style="1197"/>
    <col min="7426" max="7426" width="45.85546875" style="1197" customWidth="1"/>
    <col min="7427" max="7427" width="22.7109375" style="1197" customWidth="1"/>
    <col min="7428" max="7428" width="22.5703125" style="1197" customWidth="1"/>
    <col min="7429" max="7429" width="9.140625" style="1197"/>
    <col min="7430" max="7430" width="13.7109375" style="1197" bestFit="1" customWidth="1"/>
    <col min="7431" max="7681" width="9.140625" style="1197"/>
    <col min="7682" max="7682" width="45.85546875" style="1197" customWidth="1"/>
    <col min="7683" max="7683" width="22.7109375" style="1197" customWidth="1"/>
    <col min="7684" max="7684" width="22.5703125" style="1197" customWidth="1"/>
    <col min="7685" max="7685" width="9.140625" style="1197"/>
    <col min="7686" max="7686" width="13.7109375" style="1197" bestFit="1" customWidth="1"/>
    <col min="7687" max="7937" width="9.140625" style="1197"/>
    <col min="7938" max="7938" width="45.85546875" style="1197" customWidth="1"/>
    <col min="7939" max="7939" width="22.7109375" style="1197" customWidth="1"/>
    <col min="7940" max="7940" width="22.5703125" style="1197" customWidth="1"/>
    <col min="7941" max="7941" width="9.140625" style="1197"/>
    <col min="7942" max="7942" width="13.7109375" style="1197" bestFit="1" customWidth="1"/>
    <col min="7943" max="8193" width="9.140625" style="1197"/>
    <col min="8194" max="8194" width="45.85546875" style="1197" customWidth="1"/>
    <col min="8195" max="8195" width="22.7109375" style="1197" customWidth="1"/>
    <col min="8196" max="8196" width="22.5703125" style="1197" customWidth="1"/>
    <col min="8197" max="8197" width="9.140625" style="1197"/>
    <col min="8198" max="8198" width="13.7109375" style="1197" bestFit="1" customWidth="1"/>
    <col min="8199" max="8449" width="9.140625" style="1197"/>
    <col min="8450" max="8450" width="45.85546875" style="1197" customWidth="1"/>
    <col min="8451" max="8451" width="22.7109375" style="1197" customWidth="1"/>
    <col min="8452" max="8452" width="22.5703125" style="1197" customWidth="1"/>
    <col min="8453" max="8453" width="9.140625" style="1197"/>
    <col min="8454" max="8454" width="13.7109375" style="1197" bestFit="1" customWidth="1"/>
    <col min="8455" max="8705" width="9.140625" style="1197"/>
    <col min="8706" max="8706" width="45.85546875" style="1197" customWidth="1"/>
    <col min="8707" max="8707" width="22.7109375" style="1197" customWidth="1"/>
    <col min="8708" max="8708" width="22.5703125" style="1197" customWidth="1"/>
    <col min="8709" max="8709" width="9.140625" style="1197"/>
    <col min="8710" max="8710" width="13.7109375" style="1197" bestFit="1" customWidth="1"/>
    <col min="8711" max="8961" width="9.140625" style="1197"/>
    <col min="8962" max="8962" width="45.85546875" style="1197" customWidth="1"/>
    <col min="8963" max="8963" width="22.7109375" style="1197" customWidth="1"/>
    <col min="8964" max="8964" width="22.5703125" style="1197" customWidth="1"/>
    <col min="8965" max="8965" width="9.140625" style="1197"/>
    <col min="8966" max="8966" width="13.7109375" style="1197" bestFit="1" customWidth="1"/>
    <col min="8967" max="9217" width="9.140625" style="1197"/>
    <col min="9218" max="9218" width="45.85546875" style="1197" customWidth="1"/>
    <col min="9219" max="9219" width="22.7109375" style="1197" customWidth="1"/>
    <col min="9220" max="9220" width="22.5703125" style="1197" customWidth="1"/>
    <col min="9221" max="9221" width="9.140625" style="1197"/>
    <col min="9222" max="9222" width="13.7109375" style="1197" bestFit="1" customWidth="1"/>
    <col min="9223" max="9473" width="9.140625" style="1197"/>
    <col min="9474" max="9474" width="45.85546875" style="1197" customWidth="1"/>
    <col min="9475" max="9475" width="22.7109375" style="1197" customWidth="1"/>
    <col min="9476" max="9476" width="22.5703125" style="1197" customWidth="1"/>
    <col min="9477" max="9477" width="9.140625" style="1197"/>
    <col min="9478" max="9478" width="13.7109375" style="1197" bestFit="1" customWidth="1"/>
    <col min="9479" max="9729" width="9.140625" style="1197"/>
    <col min="9730" max="9730" width="45.85546875" style="1197" customWidth="1"/>
    <col min="9731" max="9731" width="22.7109375" style="1197" customWidth="1"/>
    <col min="9732" max="9732" width="22.5703125" style="1197" customWidth="1"/>
    <col min="9733" max="9733" width="9.140625" style="1197"/>
    <col min="9734" max="9734" width="13.7109375" style="1197" bestFit="1" customWidth="1"/>
    <col min="9735" max="9985" width="9.140625" style="1197"/>
    <col min="9986" max="9986" width="45.85546875" style="1197" customWidth="1"/>
    <col min="9987" max="9987" width="22.7109375" style="1197" customWidth="1"/>
    <col min="9988" max="9988" width="22.5703125" style="1197" customWidth="1"/>
    <col min="9989" max="9989" width="9.140625" style="1197"/>
    <col min="9990" max="9990" width="13.7109375" style="1197" bestFit="1" customWidth="1"/>
    <col min="9991" max="10241" width="9.140625" style="1197"/>
    <col min="10242" max="10242" width="45.85546875" style="1197" customWidth="1"/>
    <col min="10243" max="10243" width="22.7109375" style="1197" customWidth="1"/>
    <col min="10244" max="10244" width="22.5703125" style="1197" customWidth="1"/>
    <col min="10245" max="10245" width="9.140625" style="1197"/>
    <col min="10246" max="10246" width="13.7109375" style="1197" bestFit="1" customWidth="1"/>
    <col min="10247" max="10497" width="9.140625" style="1197"/>
    <col min="10498" max="10498" width="45.85546875" style="1197" customWidth="1"/>
    <col min="10499" max="10499" width="22.7109375" style="1197" customWidth="1"/>
    <col min="10500" max="10500" width="22.5703125" style="1197" customWidth="1"/>
    <col min="10501" max="10501" width="9.140625" style="1197"/>
    <col min="10502" max="10502" width="13.7109375" style="1197" bestFit="1" customWidth="1"/>
    <col min="10503" max="10753" width="9.140625" style="1197"/>
    <col min="10754" max="10754" width="45.85546875" style="1197" customWidth="1"/>
    <col min="10755" max="10755" width="22.7109375" style="1197" customWidth="1"/>
    <col min="10756" max="10756" width="22.5703125" style="1197" customWidth="1"/>
    <col min="10757" max="10757" width="9.140625" style="1197"/>
    <col min="10758" max="10758" width="13.7109375" style="1197" bestFit="1" customWidth="1"/>
    <col min="10759" max="11009" width="9.140625" style="1197"/>
    <col min="11010" max="11010" width="45.85546875" style="1197" customWidth="1"/>
    <col min="11011" max="11011" width="22.7109375" style="1197" customWidth="1"/>
    <col min="11012" max="11012" width="22.5703125" style="1197" customWidth="1"/>
    <col min="11013" max="11013" width="9.140625" style="1197"/>
    <col min="11014" max="11014" width="13.7109375" style="1197" bestFit="1" customWidth="1"/>
    <col min="11015" max="11265" width="9.140625" style="1197"/>
    <col min="11266" max="11266" width="45.85546875" style="1197" customWidth="1"/>
    <col min="11267" max="11267" width="22.7109375" style="1197" customWidth="1"/>
    <col min="11268" max="11268" width="22.5703125" style="1197" customWidth="1"/>
    <col min="11269" max="11269" width="9.140625" style="1197"/>
    <col min="11270" max="11270" width="13.7109375" style="1197" bestFit="1" customWidth="1"/>
    <col min="11271" max="11521" width="9.140625" style="1197"/>
    <col min="11522" max="11522" width="45.85546875" style="1197" customWidth="1"/>
    <col min="11523" max="11523" width="22.7109375" style="1197" customWidth="1"/>
    <col min="11524" max="11524" width="22.5703125" style="1197" customWidth="1"/>
    <col min="11525" max="11525" width="9.140625" style="1197"/>
    <col min="11526" max="11526" width="13.7109375" style="1197" bestFit="1" customWidth="1"/>
    <col min="11527" max="11777" width="9.140625" style="1197"/>
    <col min="11778" max="11778" width="45.85546875" style="1197" customWidth="1"/>
    <col min="11779" max="11779" width="22.7109375" style="1197" customWidth="1"/>
    <col min="11780" max="11780" width="22.5703125" style="1197" customWidth="1"/>
    <col min="11781" max="11781" width="9.140625" style="1197"/>
    <col min="11782" max="11782" width="13.7109375" style="1197" bestFit="1" customWidth="1"/>
    <col min="11783" max="12033" width="9.140625" style="1197"/>
    <col min="12034" max="12034" width="45.85546875" style="1197" customWidth="1"/>
    <col min="12035" max="12035" width="22.7109375" style="1197" customWidth="1"/>
    <col min="12036" max="12036" width="22.5703125" style="1197" customWidth="1"/>
    <col min="12037" max="12037" width="9.140625" style="1197"/>
    <col min="12038" max="12038" width="13.7109375" style="1197" bestFit="1" customWidth="1"/>
    <col min="12039" max="12289" width="9.140625" style="1197"/>
    <col min="12290" max="12290" width="45.85546875" style="1197" customWidth="1"/>
    <col min="12291" max="12291" width="22.7109375" style="1197" customWidth="1"/>
    <col min="12292" max="12292" width="22.5703125" style="1197" customWidth="1"/>
    <col min="12293" max="12293" width="9.140625" style="1197"/>
    <col min="12294" max="12294" width="13.7109375" style="1197" bestFit="1" customWidth="1"/>
    <col min="12295" max="12545" width="9.140625" style="1197"/>
    <col min="12546" max="12546" width="45.85546875" style="1197" customWidth="1"/>
    <col min="12547" max="12547" width="22.7109375" style="1197" customWidth="1"/>
    <col min="12548" max="12548" width="22.5703125" style="1197" customWidth="1"/>
    <col min="12549" max="12549" width="9.140625" style="1197"/>
    <col min="12550" max="12550" width="13.7109375" style="1197" bestFit="1" customWidth="1"/>
    <col min="12551" max="12801" width="9.140625" style="1197"/>
    <col min="12802" max="12802" width="45.85546875" style="1197" customWidth="1"/>
    <col min="12803" max="12803" width="22.7109375" style="1197" customWidth="1"/>
    <col min="12804" max="12804" width="22.5703125" style="1197" customWidth="1"/>
    <col min="12805" max="12805" width="9.140625" style="1197"/>
    <col min="12806" max="12806" width="13.7109375" style="1197" bestFit="1" customWidth="1"/>
    <col min="12807" max="13057" width="9.140625" style="1197"/>
    <col min="13058" max="13058" width="45.85546875" style="1197" customWidth="1"/>
    <col min="13059" max="13059" width="22.7109375" style="1197" customWidth="1"/>
    <col min="13060" max="13060" width="22.5703125" style="1197" customWidth="1"/>
    <col min="13061" max="13061" width="9.140625" style="1197"/>
    <col min="13062" max="13062" width="13.7109375" style="1197" bestFit="1" customWidth="1"/>
    <col min="13063" max="13313" width="9.140625" style="1197"/>
    <col min="13314" max="13314" width="45.85546875" style="1197" customWidth="1"/>
    <col min="13315" max="13315" width="22.7109375" style="1197" customWidth="1"/>
    <col min="13316" max="13316" width="22.5703125" style="1197" customWidth="1"/>
    <col min="13317" max="13317" width="9.140625" style="1197"/>
    <col min="13318" max="13318" width="13.7109375" style="1197" bestFit="1" customWidth="1"/>
    <col min="13319" max="13569" width="9.140625" style="1197"/>
    <col min="13570" max="13570" width="45.85546875" style="1197" customWidth="1"/>
    <col min="13571" max="13571" width="22.7109375" style="1197" customWidth="1"/>
    <col min="13572" max="13572" width="22.5703125" style="1197" customWidth="1"/>
    <col min="13573" max="13573" width="9.140625" style="1197"/>
    <col min="13574" max="13574" width="13.7109375" style="1197" bestFit="1" customWidth="1"/>
    <col min="13575" max="13825" width="9.140625" style="1197"/>
    <col min="13826" max="13826" width="45.85546875" style="1197" customWidth="1"/>
    <col min="13827" max="13827" width="22.7109375" style="1197" customWidth="1"/>
    <col min="13828" max="13828" width="22.5703125" style="1197" customWidth="1"/>
    <col min="13829" max="13829" width="9.140625" style="1197"/>
    <col min="13830" max="13830" width="13.7109375" style="1197" bestFit="1" customWidth="1"/>
    <col min="13831" max="14081" width="9.140625" style="1197"/>
    <col min="14082" max="14082" width="45.85546875" style="1197" customWidth="1"/>
    <col min="14083" max="14083" width="22.7109375" style="1197" customWidth="1"/>
    <col min="14084" max="14084" width="22.5703125" style="1197" customWidth="1"/>
    <col min="14085" max="14085" width="9.140625" style="1197"/>
    <col min="14086" max="14086" width="13.7109375" style="1197" bestFit="1" customWidth="1"/>
    <col min="14087" max="14337" width="9.140625" style="1197"/>
    <col min="14338" max="14338" width="45.85546875" style="1197" customWidth="1"/>
    <col min="14339" max="14339" width="22.7109375" style="1197" customWidth="1"/>
    <col min="14340" max="14340" width="22.5703125" style="1197" customWidth="1"/>
    <col min="14341" max="14341" width="9.140625" style="1197"/>
    <col min="14342" max="14342" width="13.7109375" style="1197" bestFit="1" customWidth="1"/>
    <col min="14343" max="14593" width="9.140625" style="1197"/>
    <col min="14594" max="14594" width="45.85546875" style="1197" customWidth="1"/>
    <col min="14595" max="14595" width="22.7109375" style="1197" customWidth="1"/>
    <col min="14596" max="14596" width="22.5703125" style="1197" customWidth="1"/>
    <col min="14597" max="14597" width="9.140625" style="1197"/>
    <col min="14598" max="14598" width="13.7109375" style="1197" bestFit="1" customWidth="1"/>
    <col min="14599" max="14849" width="9.140625" style="1197"/>
    <col min="14850" max="14850" width="45.85546875" style="1197" customWidth="1"/>
    <col min="14851" max="14851" width="22.7109375" style="1197" customWidth="1"/>
    <col min="14852" max="14852" width="22.5703125" style="1197" customWidth="1"/>
    <col min="14853" max="14853" width="9.140625" style="1197"/>
    <col min="14854" max="14854" width="13.7109375" style="1197" bestFit="1" customWidth="1"/>
    <col min="14855" max="15105" width="9.140625" style="1197"/>
    <col min="15106" max="15106" width="45.85546875" style="1197" customWidth="1"/>
    <col min="15107" max="15107" width="22.7109375" style="1197" customWidth="1"/>
    <col min="15108" max="15108" width="22.5703125" style="1197" customWidth="1"/>
    <col min="15109" max="15109" width="9.140625" style="1197"/>
    <col min="15110" max="15110" width="13.7109375" style="1197" bestFit="1" customWidth="1"/>
    <col min="15111" max="15361" width="9.140625" style="1197"/>
    <col min="15362" max="15362" width="45.85546875" style="1197" customWidth="1"/>
    <col min="15363" max="15363" width="22.7109375" style="1197" customWidth="1"/>
    <col min="15364" max="15364" width="22.5703125" style="1197" customWidth="1"/>
    <col min="15365" max="15365" width="9.140625" style="1197"/>
    <col min="15366" max="15366" width="13.7109375" style="1197" bestFit="1" customWidth="1"/>
    <col min="15367" max="15617" width="9.140625" style="1197"/>
    <col min="15618" max="15618" width="45.85546875" style="1197" customWidth="1"/>
    <col min="15619" max="15619" width="22.7109375" style="1197" customWidth="1"/>
    <col min="15620" max="15620" width="22.5703125" style="1197" customWidth="1"/>
    <col min="15621" max="15621" width="9.140625" style="1197"/>
    <col min="15622" max="15622" width="13.7109375" style="1197" bestFit="1" customWidth="1"/>
    <col min="15623" max="15873" width="9.140625" style="1197"/>
    <col min="15874" max="15874" width="45.85546875" style="1197" customWidth="1"/>
    <col min="15875" max="15875" width="22.7109375" style="1197" customWidth="1"/>
    <col min="15876" max="15876" width="22.5703125" style="1197" customWidth="1"/>
    <col min="15877" max="15877" width="9.140625" style="1197"/>
    <col min="15878" max="15878" width="13.7109375" style="1197" bestFit="1" customWidth="1"/>
    <col min="15879" max="16129" width="9.140625" style="1197"/>
    <col min="16130" max="16130" width="45.85546875" style="1197" customWidth="1"/>
    <col min="16131" max="16131" width="22.7109375" style="1197" customWidth="1"/>
    <col min="16132" max="16132" width="22.5703125" style="1197" customWidth="1"/>
    <col min="16133" max="16133" width="9.140625" style="1197"/>
    <col min="16134" max="16134" width="13.7109375" style="1197" bestFit="1" customWidth="1"/>
    <col min="16135" max="16384" width="9.140625" style="1197"/>
  </cols>
  <sheetData>
    <row r="1" spans="1:6" s="1190" customFormat="1" ht="15">
      <c r="A1" s="1185"/>
      <c r="B1" s="1186" t="s">
        <v>187</v>
      </c>
      <c r="C1" s="1187" t="s">
        <v>1869</v>
      </c>
      <c r="D1" s="1188"/>
      <c r="E1" s="1189"/>
      <c r="F1" s="1189"/>
    </row>
    <row r="2" spans="1:6" s="1190" customFormat="1" ht="15">
      <c r="A2" s="1191"/>
      <c r="B2" s="1192" t="s">
        <v>188</v>
      </c>
      <c r="C2" s="1193">
        <v>17862944</v>
      </c>
      <c r="D2" s="1194"/>
      <c r="E2" s="1189"/>
      <c r="F2" s="1189"/>
    </row>
    <row r="3" spans="1:6" s="1190" customFormat="1" ht="15">
      <c r="A3" s="1191"/>
      <c r="B3" s="1192"/>
      <c r="C3" s="1195"/>
      <c r="D3" s="1194"/>
      <c r="E3" s="1189"/>
      <c r="F3" s="1189"/>
    </row>
    <row r="4" spans="1:6" ht="37.5" customHeight="1">
      <c r="A4" s="1191"/>
      <c r="B4" s="1192" t="s">
        <v>1905</v>
      </c>
      <c r="C4" s="1965" t="s">
        <v>298</v>
      </c>
      <c r="D4" s="1966"/>
      <c r="E4" s="1196"/>
      <c r="F4" s="1196"/>
    </row>
    <row r="5" spans="1:6" ht="24" customHeight="1">
      <c r="A5" s="1967" t="s">
        <v>6</v>
      </c>
      <c r="B5" s="1968" t="s">
        <v>18</v>
      </c>
      <c r="C5" s="1969" t="s">
        <v>17</v>
      </c>
      <c r="D5" s="1970"/>
    </row>
    <row r="6" spans="1:6" ht="36" customHeight="1">
      <c r="A6" s="1967"/>
      <c r="B6" s="1968"/>
      <c r="C6" s="1198" t="s">
        <v>4164</v>
      </c>
      <c r="D6" s="1199" t="s">
        <v>4071</v>
      </c>
    </row>
    <row r="7" spans="1:6" ht="37.5" customHeight="1">
      <c r="A7" s="1200" t="s">
        <v>89</v>
      </c>
      <c r="B7" s="1201" t="s">
        <v>100</v>
      </c>
      <c r="C7" s="1601"/>
      <c r="D7" s="1202"/>
    </row>
    <row r="8" spans="1:6" ht="48" customHeight="1">
      <c r="A8" s="1203" t="s">
        <v>90</v>
      </c>
      <c r="B8" s="1201" t="s">
        <v>101</v>
      </c>
      <c r="C8" s="1602"/>
      <c r="D8" s="1204"/>
    </row>
    <row r="9" spans="1:6" ht="60" customHeight="1">
      <c r="A9" s="1200" t="s">
        <v>91</v>
      </c>
      <c r="B9" s="1201" t="s">
        <v>102</v>
      </c>
      <c r="C9" s="1602">
        <f>9604788.43+5677022.87+424847.07</f>
        <v>15706658.370000001</v>
      </c>
      <c r="D9" s="1204">
        <v>15014028</v>
      </c>
    </row>
    <row r="10" spans="1:6" ht="53.25" customHeight="1">
      <c r="A10" s="1200" t="s">
        <v>92</v>
      </c>
      <c r="B10" s="1201" t="s">
        <v>103</v>
      </c>
      <c r="C10" s="1602">
        <f>611515.1+211380.04+628769.86+200000</f>
        <v>1651665</v>
      </c>
      <c r="D10" s="1204">
        <v>1729427.97</v>
      </c>
    </row>
    <row r="11" spans="1:6" s="1190" customFormat="1" ht="54" customHeight="1">
      <c r="A11" s="1200" t="s">
        <v>93</v>
      </c>
      <c r="B11" s="1201" t="s">
        <v>105</v>
      </c>
      <c r="C11" s="1602">
        <f>1437033.9+200000+853931.04+200000</f>
        <v>2690964.94</v>
      </c>
      <c r="D11" s="1204">
        <v>2518028.2799999998</v>
      </c>
    </row>
    <row r="12" spans="1:6" s="1190" customFormat="1" ht="54" customHeight="1">
      <c r="A12" s="1200" t="s">
        <v>94</v>
      </c>
      <c r="B12" s="1201" t="s">
        <v>104</v>
      </c>
      <c r="C12" s="1602">
        <f>9264576.53+2350332.7-275282.54</f>
        <v>11339626.690000001</v>
      </c>
      <c r="D12" s="1204">
        <v>12122823.32</v>
      </c>
    </row>
    <row r="13" spans="1:6" s="1190" customFormat="1" ht="54.75" customHeight="1" thickBot="1">
      <c r="A13" s="1200" t="s">
        <v>95</v>
      </c>
      <c r="B13" s="1201" t="s">
        <v>106</v>
      </c>
      <c r="C13" s="1603">
        <f>1618185.4+436633.73+96386</f>
        <v>2151205.13</v>
      </c>
      <c r="D13" s="1205">
        <v>2159104.13</v>
      </c>
    </row>
    <row r="14" spans="1:6" ht="43.5" customHeight="1" thickBot="1">
      <c r="A14" s="1206" t="s">
        <v>88</v>
      </c>
      <c r="B14" s="1207" t="s">
        <v>107</v>
      </c>
      <c r="C14" s="1208">
        <f>SUM(C9:C13)</f>
        <v>33540120.130000003</v>
      </c>
      <c r="D14" s="1208">
        <f>SUM(D9:D13)</f>
        <v>33543411.699999999</v>
      </c>
    </row>
    <row r="16" spans="1:6">
      <c r="B16" s="1210"/>
    </row>
    <row r="17" spans="2:4">
      <c r="C17" s="1210"/>
    </row>
    <row r="19" spans="2:4" ht="20.25">
      <c r="B19" s="1209" t="s">
        <v>4165</v>
      </c>
      <c r="C19" s="1604">
        <v>33544000</v>
      </c>
    </row>
    <row r="23" spans="2:4">
      <c r="C23" s="1210"/>
    </row>
    <row r="24" spans="2:4">
      <c r="D24" s="1210"/>
    </row>
  </sheetData>
  <mergeCells count="4">
    <mergeCell ref="C4:D4"/>
    <mergeCell ref="A5:A6"/>
    <mergeCell ref="B5:B6"/>
    <mergeCell ref="C5:D5"/>
  </mergeCells>
  <pageMargins left="0.7" right="0.7" top="0.75" bottom="0.75" header="0.3" footer="0.3"/>
  <pageSetup paperSize="9" scale="8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SheetLayoutView="100" workbookViewId="0">
      <selection activeCell="C33" sqref="C33:I33"/>
    </sheetView>
  </sheetViews>
  <sheetFormatPr defaultRowHeight="12.75"/>
  <cols>
    <col min="1" max="1" width="8.85546875" style="35" customWidth="1"/>
    <col min="2" max="2" width="53" style="35" customWidth="1"/>
    <col min="3" max="3" width="9.42578125" style="36" bestFit="1" customWidth="1"/>
    <col min="4" max="4" width="11.5703125" style="36" customWidth="1"/>
    <col min="5" max="6" width="11.7109375" style="36" customWidth="1"/>
    <col min="7" max="7" width="9.42578125" style="36" customWidth="1"/>
    <col min="8" max="8" width="9.42578125" style="34" customWidth="1"/>
    <col min="9" max="9" width="12.42578125" style="34" customWidth="1"/>
    <col min="10" max="16384" width="9.140625" style="34"/>
  </cols>
  <sheetData>
    <row r="1" spans="1:9" ht="15.75">
      <c r="A1" s="173"/>
      <c r="B1" s="174" t="s">
        <v>187</v>
      </c>
      <c r="C1" s="321" t="s">
        <v>334</v>
      </c>
      <c r="D1" s="323"/>
      <c r="E1" s="323"/>
      <c r="F1" s="325"/>
      <c r="G1" s="12"/>
    </row>
    <row r="2" spans="1:9" ht="15.75">
      <c r="A2" s="173"/>
      <c r="B2" s="174" t="s">
        <v>188</v>
      </c>
      <c r="C2" s="321" t="s">
        <v>333</v>
      </c>
      <c r="D2" s="323"/>
      <c r="E2" s="323"/>
      <c r="F2" s="325"/>
      <c r="G2" s="12"/>
    </row>
    <row r="3" spans="1:9" ht="15.75">
      <c r="A3" s="173"/>
      <c r="B3" s="174"/>
      <c r="C3" s="321"/>
      <c r="D3" s="323"/>
      <c r="E3" s="323"/>
      <c r="F3" s="325"/>
      <c r="G3" s="12"/>
    </row>
    <row r="4" spans="1:9" ht="15.75">
      <c r="A4" s="173"/>
      <c r="B4" s="174" t="s">
        <v>1827</v>
      </c>
      <c r="C4" s="322" t="s">
        <v>299</v>
      </c>
      <c r="D4" s="324"/>
      <c r="E4" s="324"/>
      <c r="F4" s="326"/>
      <c r="G4" s="6"/>
    </row>
    <row r="5" spans="1:9" ht="15.75">
      <c r="A5" s="12"/>
      <c r="B5" s="9"/>
      <c r="C5" s="9"/>
      <c r="D5" s="9"/>
      <c r="F5" s="33"/>
      <c r="G5" s="33"/>
    </row>
    <row r="6" spans="1:9" s="4" customFormat="1" ht="93.75" customHeight="1">
      <c r="A6" s="991" t="s">
        <v>119</v>
      </c>
      <c r="B6" s="991" t="s">
        <v>327</v>
      </c>
      <c r="C6" s="1281" t="s">
        <v>4075</v>
      </c>
      <c r="D6" s="1281" t="s">
        <v>4079</v>
      </c>
      <c r="E6" s="1281" t="s">
        <v>4080</v>
      </c>
      <c r="F6" s="1281" t="s">
        <v>4076</v>
      </c>
      <c r="G6" s="1281" t="s">
        <v>4077</v>
      </c>
      <c r="H6" s="1281" t="s">
        <v>4074</v>
      </c>
      <c r="I6" s="1281" t="s">
        <v>4073</v>
      </c>
    </row>
    <row r="7" spans="1:9">
      <c r="A7" s="329" t="s">
        <v>301</v>
      </c>
      <c r="B7" s="329"/>
      <c r="C7" s="185"/>
      <c r="D7" s="185"/>
      <c r="E7" s="185"/>
      <c r="F7" s="187"/>
      <c r="G7" s="187"/>
      <c r="H7" s="187"/>
      <c r="I7" s="37"/>
    </row>
    <row r="8" spans="1:9">
      <c r="A8" s="187"/>
      <c r="B8" s="991"/>
      <c r="C8" s="185"/>
      <c r="D8" s="185"/>
      <c r="E8" s="185"/>
      <c r="F8" s="187"/>
      <c r="G8" s="187"/>
      <c r="H8" s="187"/>
      <c r="I8" s="37"/>
    </row>
    <row r="9" spans="1:9">
      <c r="A9" s="329" t="s">
        <v>302</v>
      </c>
      <c r="B9" s="329"/>
      <c r="C9" s="185"/>
      <c r="D9" s="185"/>
      <c r="E9" s="185"/>
      <c r="F9" s="187"/>
      <c r="G9" s="187"/>
      <c r="H9" s="187"/>
      <c r="I9" s="37"/>
    </row>
    <row r="10" spans="1:9">
      <c r="A10" s="187"/>
      <c r="B10" s="991"/>
      <c r="C10" s="185"/>
      <c r="D10" s="185"/>
      <c r="E10" s="185"/>
      <c r="F10" s="187"/>
      <c r="G10" s="187"/>
      <c r="H10" s="187"/>
      <c r="I10" s="37"/>
    </row>
    <row r="11" spans="1:9">
      <c r="A11" s="329" t="s">
        <v>303</v>
      </c>
      <c r="B11" s="329"/>
      <c r="C11" s="185"/>
      <c r="D11" s="185"/>
      <c r="E11" s="185"/>
      <c r="F11" s="187"/>
      <c r="G11" s="187"/>
      <c r="H11" s="187"/>
      <c r="I11" s="37"/>
    </row>
    <row r="12" spans="1:9">
      <c r="A12" s="187"/>
      <c r="B12" s="991"/>
      <c r="C12" s="185"/>
      <c r="D12" s="185"/>
      <c r="E12" s="185"/>
      <c r="F12" s="187"/>
      <c r="G12" s="187"/>
      <c r="H12" s="187"/>
      <c r="I12" s="37"/>
    </row>
    <row r="13" spans="1:9">
      <c r="A13" s="187"/>
      <c r="B13" s="991"/>
      <c r="C13" s="185"/>
      <c r="D13" s="185"/>
      <c r="E13" s="185"/>
      <c r="F13" s="187"/>
      <c r="G13" s="187"/>
      <c r="H13" s="187"/>
      <c r="I13" s="37"/>
    </row>
    <row r="14" spans="1:9">
      <c r="A14" s="329" t="s">
        <v>304</v>
      </c>
      <c r="B14" s="329"/>
      <c r="C14" s="185"/>
      <c r="D14" s="185"/>
      <c r="E14" s="185"/>
      <c r="F14" s="187"/>
      <c r="G14" s="187"/>
      <c r="H14" s="187"/>
      <c r="I14" s="37"/>
    </row>
    <row r="15" spans="1:9">
      <c r="A15" s="192" t="s">
        <v>305</v>
      </c>
      <c r="B15" s="991"/>
      <c r="C15" s="185"/>
      <c r="D15" s="185"/>
      <c r="E15" s="185"/>
      <c r="F15" s="187"/>
      <c r="G15" s="187"/>
      <c r="H15" s="187"/>
      <c r="I15" s="37"/>
    </row>
    <row r="16" spans="1:9">
      <c r="A16" s="192"/>
      <c r="B16" s="991"/>
      <c r="C16" s="185"/>
      <c r="D16" s="185"/>
      <c r="E16" s="185"/>
      <c r="F16" s="187"/>
      <c r="G16" s="187"/>
      <c r="H16" s="187"/>
      <c r="I16" s="37"/>
    </row>
    <row r="17" spans="1:9">
      <c r="A17" s="192"/>
      <c r="B17" s="991"/>
      <c r="C17" s="185"/>
      <c r="D17" s="185"/>
      <c r="E17" s="185"/>
      <c r="F17" s="187"/>
      <c r="G17" s="187"/>
      <c r="H17" s="187"/>
      <c r="I17" s="37"/>
    </row>
    <row r="18" spans="1:9">
      <c r="A18" s="192" t="s">
        <v>306</v>
      </c>
      <c r="B18" s="991"/>
      <c r="C18" s="185"/>
      <c r="D18" s="185"/>
      <c r="E18" s="185"/>
      <c r="F18" s="187"/>
      <c r="G18" s="187"/>
      <c r="H18" s="187"/>
      <c r="I18" s="37"/>
    </row>
    <row r="19" spans="1:9">
      <c r="A19" s="192"/>
      <c r="B19" s="991"/>
      <c r="C19" s="185"/>
      <c r="D19" s="185"/>
      <c r="E19" s="185"/>
      <c r="F19" s="187"/>
      <c r="G19" s="187"/>
      <c r="H19" s="187"/>
      <c r="I19" s="37"/>
    </row>
    <row r="20" spans="1:9">
      <c r="A20" s="192"/>
      <c r="B20" s="991"/>
      <c r="C20" s="185"/>
      <c r="D20" s="185"/>
      <c r="E20" s="185"/>
      <c r="F20" s="187"/>
      <c r="G20" s="187"/>
      <c r="H20" s="187"/>
      <c r="I20" s="37"/>
    </row>
    <row r="21" spans="1:9">
      <c r="A21" s="329" t="s">
        <v>307</v>
      </c>
      <c r="B21" s="329"/>
      <c r="C21" s="185"/>
      <c r="D21" s="185"/>
      <c r="E21" s="185"/>
      <c r="F21" s="187"/>
      <c r="G21" s="187"/>
      <c r="H21" s="187"/>
      <c r="I21" s="37"/>
    </row>
    <row r="22" spans="1:9">
      <c r="A22" s="187"/>
      <c r="B22" s="991"/>
      <c r="C22" s="185"/>
      <c r="D22" s="185"/>
      <c r="E22" s="185"/>
      <c r="F22" s="187"/>
      <c r="G22" s="187"/>
      <c r="H22" s="187"/>
      <c r="I22" s="37"/>
    </row>
    <row r="23" spans="1:9">
      <c r="A23" s="187"/>
      <c r="B23" s="991"/>
      <c r="C23" s="185"/>
      <c r="D23" s="185"/>
      <c r="E23" s="185"/>
      <c r="F23" s="187"/>
      <c r="G23" s="187"/>
      <c r="H23" s="187"/>
      <c r="I23" s="37"/>
    </row>
    <row r="24" spans="1:9">
      <c r="A24" s="329" t="s">
        <v>308</v>
      </c>
      <c r="B24" s="329"/>
      <c r="C24" s="185"/>
      <c r="D24" s="185"/>
      <c r="E24" s="185"/>
      <c r="F24" s="187"/>
      <c r="G24" s="187"/>
      <c r="H24" s="187"/>
      <c r="I24" s="37"/>
    </row>
    <row r="25" spans="1:9">
      <c r="A25" s="187"/>
      <c r="B25" s="991"/>
      <c r="C25" s="185"/>
      <c r="D25" s="185"/>
      <c r="E25" s="185"/>
      <c r="F25" s="187"/>
      <c r="G25" s="187"/>
      <c r="H25" s="187"/>
      <c r="I25" s="37"/>
    </row>
    <row r="26" spans="1:9">
      <c r="A26" s="187"/>
      <c r="B26" s="991"/>
      <c r="C26" s="185"/>
      <c r="D26" s="185"/>
      <c r="E26" s="185"/>
      <c r="F26" s="187"/>
      <c r="G26" s="187"/>
      <c r="H26" s="187"/>
      <c r="I26" s="37"/>
    </row>
    <row r="27" spans="1:9">
      <c r="A27" s="329" t="s">
        <v>309</v>
      </c>
      <c r="B27" s="329"/>
      <c r="C27" s="185"/>
      <c r="D27" s="185"/>
      <c r="E27" s="185"/>
      <c r="F27" s="187"/>
      <c r="G27" s="187"/>
      <c r="H27" s="187"/>
      <c r="I27" s="37"/>
    </row>
    <row r="28" spans="1:9">
      <c r="A28" s="187"/>
      <c r="B28" s="991"/>
      <c r="C28" s="185"/>
      <c r="D28" s="185"/>
      <c r="E28" s="185"/>
      <c r="F28" s="187"/>
      <c r="G28" s="187"/>
      <c r="H28" s="187"/>
      <c r="I28" s="37"/>
    </row>
    <row r="29" spans="1:9">
      <c r="A29" s="187"/>
      <c r="B29" s="991"/>
      <c r="C29" s="185"/>
      <c r="D29" s="185"/>
      <c r="E29" s="185"/>
      <c r="F29" s="187"/>
      <c r="G29" s="187"/>
      <c r="H29" s="187"/>
      <c r="I29" s="37"/>
    </row>
    <row r="30" spans="1:9" s="51" customFormat="1">
      <c r="A30" s="329" t="s">
        <v>310</v>
      </c>
      <c r="B30" s="329"/>
      <c r="C30" s="185"/>
      <c r="D30" s="185"/>
      <c r="E30" s="185"/>
      <c r="F30" s="191"/>
      <c r="G30" s="191"/>
      <c r="H30" s="191"/>
      <c r="I30" s="193"/>
    </row>
    <row r="31" spans="1:9">
      <c r="A31" s="187"/>
      <c r="B31" s="991"/>
      <c r="C31" s="185"/>
      <c r="D31" s="185"/>
      <c r="E31" s="185"/>
      <c r="F31" s="187"/>
      <c r="G31" s="187"/>
      <c r="H31" s="187"/>
      <c r="I31" s="37"/>
    </row>
    <row r="32" spans="1:9">
      <c r="A32" s="187"/>
      <c r="B32" s="991"/>
      <c r="C32" s="185"/>
      <c r="D32" s="185"/>
      <c r="E32" s="185"/>
      <c r="F32" s="187"/>
      <c r="G32" s="187"/>
      <c r="H32" s="187"/>
      <c r="I32" s="37"/>
    </row>
    <row r="33" spans="1:9">
      <c r="A33" s="329" t="s">
        <v>311</v>
      </c>
      <c r="B33" s="329"/>
      <c r="C33" s="1285">
        <v>120</v>
      </c>
      <c r="D33" s="1285">
        <v>214</v>
      </c>
      <c r="E33" s="1285">
        <v>217</v>
      </c>
      <c r="F33" s="191">
        <v>438</v>
      </c>
      <c r="G33" s="191">
        <v>130</v>
      </c>
      <c r="H33" s="191">
        <v>250</v>
      </c>
      <c r="I33" s="191">
        <v>2</v>
      </c>
    </row>
    <row r="34" spans="1:9">
      <c r="A34" s="187"/>
      <c r="B34" s="991"/>
      <c r="C34" s="185"/>
      <c r="D34" s="185"/>
      <c r="E34" s="185"/>
      <c r="F34" s="187"/>
      <c r="G34" s="187"/>
      <c r="H34" s="187"/>
      <c r="I34" s="37"/>
    </row>
    <row r="35" spans="1:9">
      <c r="A35" s="187"/>
      <c r="B35" s="991"/>
      <c r="C35" s="185"/>
      <c r="D35" s="185"/>
      <c r="E35" s="185"/>
      <c r="F35" s="187"/>
      <c r="G35" s="187"/>
      <c r="H35" s="187"/>
      <c r="I35" s="37"/>
    </row>
    <row r="36" spans="1:9">
      <c r="A36" s="1971" t="s">
        <v>87</v>
      </c>
      <c r="B36" s="1971"/>
      <c r="C36" s="188"/>
      <c r="D36" s="188"/>
      <c r="E36" s="188"/>
      <c r="F36" s="187"/>
      <c r="G36" s="187"/>
      <c r="H36" s="187"/>
      <c r="I36" s="37"/>
    </row>
    <row r="37" spans="1:9">
      <c r="A37" s="189"/>
      <c r="B37" s="189"/>
      <c r="C37" s="190"/>
      <c r="D37" s="190"/>
      <c r="E37" s="190"/>
      <c r="F37" s="190"/>
      <c r="G37" s="190"/>
      <c r="H37" s="186"/>
      <c r="I37" s="186"/>
    </row>
  </sheetData>
  <mergeCells count="1">
    <mergeCell ref="A36:B36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1"/>
  <sheetViews>
    <sheetView tabSelected="1" view="pageBreakPreview" zoomScaleSheetLayoutView="100" workbookViewId="0">
      <selection activeCell="J12" sqref="J12"/>
    </sheetView>
  </sheetViews>
  <sheetFormatPr defaultRowHeight="12.75"/>
  <cols>
    <col min="2" max="2" width="17.7109375" style="1827" customWidth="1"/>
    <col min="3" max="3" width="62.7109375" style="688" customWidth="1"/>
    <col min="4" max="4" width="2" hidden="1" customWidth="1"/>
    <col min="251" max="251" width="12.7109375" customWidth="1"/>
    <col min="252" max="252" width="72.5703125" customWidth="1"/>
    <col min="253" max="257" width="6.7109375" customWidth="1"/>
    <col min="258" max="258" width="9.5703125" customWidth="1"/>
    <col min="507" max="507" width="12.7109375" customWidth="1"/>
    <col min="508" max="508" width="72.5703125" customWidth="1"/>
    <col min="509" max="513" width="6.7109375" customWidth="1"/>
    <col min="514" max="514" width="9.5703125" customWidth="1"/>
    <col min="763" max="763" width="12.7109375" customWidth="1"/>
    <col min="764" max="764" width="72.5703125" customWidth="1"/>
    <col min="765" max="769" width="6.7109375" customWidth="1"/>
    <col min="770" max="770" width="9.5703125" customWidth="1"/>
    <col min="1019" max="1019" width="12.7109375" customWidth="1"/>
    <col min="1020" max="1020" width="72.5703125" customWidth="1"/>
    <col min="1021" max="1025" width="6.7109375" customWidth="1"/>
    <col min="1026" max="1026" width="9.5703125" customWidth="1"/>
    <col min="1275" max="1275" width="12.7109375" customWidth="1"/>
    <col min="1276" max="1276" width="72.5703125" customWidth="1"/>
    <col min="1277" max="1281" width="6.7109375" customWidth="1"/>
    <col min="1282" max="1282" width="9.5703125" customWidth="1"/>
    <col min="1531" max="1531" width="12.7109375" customWidth="1"/>
    <col min="1532" max="1532" width="72.5703125" customWidth="1"/>
    <col min="1533" max="1537" width="6.7109375" customWidth="1"/>
    <col min="1538" max="1538" width="9.5703125" customWidth="1"/>
    <col min="1787" max="1787" width="12.7109375" customWidth="1"/>
    <col min="1788" max="1788" width="72.5703125" customWidth="1"/>
    <col min="1789" max="1793" width="6.7109375" customWidth="1"/>
    <col min="1794" max="1794" width="9.5703125" customWidth="1"/>
    <col min="2043" max="2043" width="12.7109375" customWidth="1"/>
    <col min="2044" max="2044" width="72.5703125" customWidth="1"/>
    <col min="2045" max="2049" width="6.7109375" customWidth="1"/>
    <col min="2050" max="2050" width="9.5703125" customWidth="1"/>
    <col min="2299" max="2299" width="12.7109375" customWidth="1"/>
    <col min="2300" max="2300" width="72.5703125" customWidth="1"/>
    <col min="2301" max="2305" width="6.7109375" customWidth="1"/>
    <col min="2306" max="2306" width="9.5703125" customWidth="1"/>
    <col min="2555" max="2555" width="12.7109375" customWidth="1"/>
    <col min="2556" max="2556" width="72.5703125" customWidth="1"/>
    <col min="2557" max="2561" width="6.7109375" customWidth="1"/>
    <col min="2562" max="2562" width="9.5703125" customWidth="1"/>
    <col min="2811" max="2811" width="12.7109375" customWidth="1"/>
    <col min="2812" max="2812" width="72.5703125" customWidth="1"/>
    <col min="2813" max="2817" width="6.7109375" customWidth="1"/>
    <col min="2818" max="2818" width="9.5703125" customWidth="1"/>
    <col min="3067" max="3067" width="12.7109375" customWidth="1"/>
    <col min="3068" max="3068" width="72.5703125" customWidth="1"/>
    <col min="3069" max="3073" width="6.7109375" customWidth="1"/>
    <col min="3074" max="3074" width="9.5703125" customWidth="1"/>
    <col min="3323" max="3323" width="12.7109375" customWidth="1"/>
    <col min="3324" max="3324" width="72.5703125" customWidth="1"/>
    <col min="3325" max="3329" width="6.7109375" customWidth="1"/>
    <col min="3330" max="3330" width="9.5703125" customWidth="1"/>
    <col min="3579" max="3579" width="12.7109375" customWidth="1"/>
    <col min="3580" max="3580" width="72.5703125" customWidth="1"/>
    <col min="3581" max="3585" width="6.7109375" customWidth="1"/>
    <col min="3586" max="3586" width="9.5703125" customWidth="1"/>
    <col min="3835" max="3835" width="12.7109375" customWidth="1"/>
    <col min="3836" max="3836" width="72.5703125" customWidth="1"/>
    <col min="3837" max="3841" width="6.7109375" customWidth="1"/>
    <col min="3842" max="3842" width="9.5703125" customWidth="1"/>
    <col min="4091" max="4091" width="12.7109375" customWidth="1"/>
    <col min="4092" max="4092" width="72.5703125" customWidth="1"/>
    <col min="4093" max="4097" width="6.7109375" customWidth="1"/>
    <col min="4098" max="4098" width="9.5703125" customWidth="1"/>
    <col min="4347" max="4347" width="12.7109375" customWidth="1"/>
    <col min="4348" max="4348" width="72.5703125" customWidth="1"/>
    <col min="4349" max="4353" width="6.7109375" customWidth="1"/>
    <col min="4354" max="4354" width="9.5703125" customWidth="1"/>
    <col min="4603" max="4603" width="12.7109375" customWidth="1"/>
    <col min="4604" max="4604" width="72.5703125" customWidth="1"/>
    <col min="4605" max="4609" width="6.7109375" customWidth="1"/>
    <col min="4610" max="4610" width="9.5703125" customWidth="1"/>
    <col min="4859" max="4859" width="12.7109375" customWidth="1"/>
    <col min="4860" max="4860" width="72.5703125" customWidth="1"/>
    <col min="4861" max="4865" width="6.7109375" customWidth="1"/>
    <col min="4866" max="4866" width="9.5703125" customWidth="1"/>
    <col min="5115" max="5115" width="12.7109375" customWidth="1"/>
    <col min="5116" max="5116" width="72.5703125" customWidth="1"/>
    <col min="5117" max="5121" width="6.7109375" customWidth="1"/>
    <col min="5122" max="5122" width="9.5703125" customWidth="1"/>
    <col min="5371" max="5371" width="12.7109375" customWidth="1"/>
    <col min="5372" max="5372" width="72.5703125" customWidth="1"/>
    <col min="5373" max="5377" width="6.7109375" customWidth="1"/>
    <col min="5378" max="5378" width="9.5703125" customWidth="1"/>
    <col min="5627" max="5627" width="12.7109375" customWidth="1"/>
    <col min="5628" max="5628" width="72.5703125" customWidth="1"/>
    <col min="5629" max="5633" width="6.7109375" customWidth="1"/>
    <col min="5634" max="5634" width="9.5703125" customWidth="1"/>
    <col min="5883" max="5883" width="12.7109375" customWidth="1"/>
    <col min="5884" max="5884" width="72.5703125" customWidth="1"/>
    <col min="5885" max="5889" width="6.7109375" customWidth="1"/>
    <col min="5890" max="5890" width="9.5703125" customWidth="1"/>
    <col min="6139" max="6139" width="12.7109375" customWidth="1"/>
    <col min="6140" max="6140" width="72.5703125" customWidth="1"/>
    <col min="6141" max="6145" width="6.7109375" customWidth="1"/>
    <col min="6146" max="6146" width="9.5703125" customWidth="1"/>
    <col min="6395" max="6395" width="12.7109375" customWidth="1"/>
    <col min="6396" max="6396" width="72.5703125" customWidth="1"/>
    <col min="6397" max="6401" width="6.7109375" customWidth="1"/>
    <col min="6402" max="6402" width="9.5703125" customWidth="1"/>
    <col min="6651" max="6651" width="12.7109375" customWidth="1"/>
    <col min="6652" max="6652" width="72.5703125" customWidth="1"/>
    <col min="6653" max="6657" width="6.7109375" customWidth="1"/>
    <col min="6658" max="6658" width="9.5703125" customWidth="1"/>
    <col min="6907" max="6907" width="12.7109375" customWidth="1"/>
    <col min="6908" max="6908" width="72.5703125" customWidth="1"/>
    <col min="6909" max="6913" width="6.7109375" customWidth="1"/>
    <col min="6914" max="6914" width="9.5703125" customWidth="1"/>
    <col min="7163" max="7163" width="12.7109375" customWidth="1"/>
    <col min="7164" max="7164" width="72.5703125" customWidth="1"/>
    <col min="7165" max="7169" width="6.7109375" customWidth="1"/>
    <col min="7170" max="7170" width="9.5703125" customWidth="1"/>
    <col min="7419" max="7419" width="12.7109375" customWidth="1"/>
    <col min="7420" max="7420" width="72.5703125" customWidth="1"/>
    <col min="7421" max="7425" width="6.7109375" customWidth="1"/>
    <col min="7426" max="7426" width="9.5703125" customWidth="1"/>
    <col min="7675" max="7675" width="12.7109375" customWidth="1"/>
    <col min="7676" max="7676" width="72.5703125" customWidth="1"/>
    <col min="7677" max="7681" width="6.7109375" customWidth="1"/>
    <col min="7682" max="7682" width="9.5703125" customWidth="1"/>
    <col min="7931" max="7931" width="12.7109375" customWidth="1"/>
    <col min="7932" max="7932" width="72.5703125" customWidth="1"/>
    <col min="7933" max="7937" width="6.7109375" customWidth="1"/>
    <col min="7938" max="7938" width="9.5703125" customWidth="1"/>
    <col min="8187" max="8187" width="12.7109375" customWidth="1"/>
    <col min="8188" max="8188" width="72.5703125" customWidth="1"/>
    <col min="8189" max="8193" width="6.7109375" customWidth="1"/>
    <col min="8194" max="8194" width="9.5703125" customWidth="1"/>
    <col min="8443" max="8443" width="12.7109375" customWidth="1"/>
    <col min="8444" max="8444" width="72.5703125" customWidth="1"/>
    <col min="8445" max="8449" width="6.7109375" customWidth="1"/>
    <col min="8450" max="8450" width="9.5703125" customWidth="1"/>
    <col min="8699" max="8699" width="12.7109375" customWidth="1"/>
    <col min="8700" max="8700" width="72.5703125" customWidth="1"/>
    <col min="8701" max="8705" width="6.7109375" customWidth="1"/>
    <col min="8706" max="8706" width="9.5703125" customWidth="1"/>
    <col min="8955" max="8955" width="12.7109375" customWidth="1"/>
    <col min="8956" max="8956" width="72.5703125" customWidth="1"/>
    <col min="8957" max="8961" width="6.7109375" customWidth="1"/>
    <col min="8962" max="8962" width="9.5703125" customWidth="1"/>
    <col min="9211" max="9211" width="12.7109375" customWidth="1"/>
    <col min="9212" max="9212" width="72.5703125" customWidth="1"/>
    <col min="9213" max="9217" width="6.7109375" customWidth="1"/>
    <col min="9218" max="9218" width="9.5703125" customWidth="1"/>
    <col min="9467" max="9467" width="12.7109375" customWidth="1"/>
    <col min="9468" max="9468" width="72.5703125" customWidth="1"/>
    <col min="9469" max="9473" width="6.7109375" customWidth="1"/>
    <col min="9474" max="9474" width="9.5703125" customWidth="1"/>
    <col min="9723" max="9723" width="12.7109375" customWidth="1"/>
    <col min="9724" max="9724" width="72.5703125" customWidth="1"/>
    <col min="9725" max="9729" width="6.7109375" customWidth="1"/>
    <col min="9730" max="9730" width="9.5703125" customWidth="1"/>
    <col min="9979" max="9979" width="12.7109375" customWidth="1"/>
    <col min="9980" max="9980" width="72.5703125" customWidth="1"/>
    <col min="9981" max="9985" width="6.7109375" customWidth="1"/>
    <col min="9986" max="9986" width="9.5703125" customWidth="1"/>
    <col min="10235" max="10235" width="12.7109375" customWidth="1"/>
    <col min="10236" max="10236" width="72.5703125" customWidth="1"/>
    <col min="10237" max="10241" width="6.7109375" customWidth="1"/>
    <col min="10242" max="10242" width="9.5703125" customWidth="1"/>
    <col min="10491" max="10491" width="12.7109375" customWidth="1"/>
    <col min="10492" max="10492" width="72.5703125" customWidth="1"/>
    <col min="10493" max="10497" width="6.7109375" customWidth="1"/>
    <col min="10498" max="10498" width="9.5703125" customWidth="1"/>
    <col min="10747" max="10747" width="12.7109375" customWidth="1"/>
    <col min="10748" max="10748" width="72.5703125" customWidth="1"/>
    <col min="10749" max="10753" width="6.7109375" customWidth="1"/>
    <col min="10754" max="10754" width="9.5703125" customWidth="1"/>
    <col min="11003" max="11003" width="12.7109375" customWidth="1"/>
    <col min="11004" max="11004" width="72.5703125" customWidth="1"/>
    <col min="11005" max="11009" width="6.7109375" customWidth="1"/>
    <col min="11010" max="11010" width="9.5703125" customWidth="1"/>
    <col min="11259" max="11259" width="12.7109375" customWidth="1"/>
    <col min="11260" max="11260" width="72.5703125" customWidth="1"/>
    <col min="11261" max="11265" width="6.7109375" customWidth="1"/>
    <col min="11266" max="11266" width="9.5703125" customWidth="1"/>
    <col min="11515" max="11515" width="12.7109375" customWidth="1"/>
    <col min="11516" max="11516" width="72.5703125" customWidth="1"/>
    <col min="11517" max="11521" width="6.7109375" customWidth="1"/>
    <col min="11522" max="11522" width="9.5703125" customWidth="1"/>
    <col min="11771" max="11771" width="12.7109375" customWidth="1"/>
    <col min="11772" max="11772" width="72.5703125" customWidth="1"/>
    <col min="11773" max="11777" width="6.7109375" customWidth="1"/>
    <col min="11778" max="11778" width="9.5703125" customWidth="1"/>
    <col min="12027" max="12027" width="12.7109375" customWidth="1"/>
    <col min="12028" max="12028" width="72.5703125" customWidth="1"/>
    <col min="12029" max="12033" width="6.7109375" customWidth="1"/>
    <col min="12034" max="12034" width="9.5703125" customWidth="1"/>
    <col min="12283" max="12283" width="12.7109375" customWidth="1"/>
    <col min="12284" max="12284" width="72.5703125" customWidth="1"/>
    <col min="12285" max="12289" width="6.7109375" customWidth="1"/>
    <col min="12290" max="12290" width="9.5703125" customWidth="1"/>
    <col min="12539" max="12539" width="12.7109375" customWidth="1"/>
    <col min="12540" max="12540" width="72.5703125" customWidth="1"/>
    <col min="12541" max="12545" width="6.7109375" customWidth="1"/>
    <col min="12546" max="12546" width="9.5703125" customWidth="1"/>
    <col min="12795" max="12795" width="12.7109375" customWidth="1"/>
    <col min="12796" max="12796" width="72.5703125" customWidth="1"/>
    <col min="12797" max="12801" width="6.7109375" customWidth="1"/>
    <col min="12802" max="12802" width="9.5703125" customWidth="1"/>
    <col min="13051" max="13051" width="12.7109375" customWidth="1"/>
    <col min="13052" max="13052" width="72.5703125" customWidth="1"/>
    <col min="13053" max="13057" width="6.7109375" customWidth="1"/>
    <col min="13058" max="13058" width="9.5703125" customWidth="1"/>
    <col min="13307" max="13307" width="12.7109375" customWidth="1"/>
    <col min="13308" max="13308" width="72.5703125" customWidth="1"/>
    <col min="13309" max="13313" width="6.7109375" customWidth="1"/>
    <col min="13314" max="13314" width="9.5703125" customWidth="1"/>
    <col min="13563" max="13563" width="12.7109375" customWidth="1"/>
    <col min="13564" max="13564" width="72.5703125" customWidth="1"/>
    <col min="13565" max="13569" width="6.7109375" customWidth="1"/>
    <col min="13570" max="13570" width="9.5703125" customWidth="1"/>
    <col min="13819" max="13819" width="12.7109375" customWidth="1"/>
    <col min="13820" max="13820" width="72.5703125" customWidth="1"/>
    <col min="13821" max="13825" width="6.7109375" customWidth="1"/>
    <col min="13826" max="13826" width="9.5703125" customWidth="1"/>
    <col min="14075" max="14075" width="12.7109375" customWidth="1"/>
    <col min="14076" max="14076" width="72.5703125" customWidth="1"/>
    <col min="14077" max="14081" width="6.7109375" customWidth="1"/>
    <col min="14082" max="14082" width="9.5703125" customWidth="1"/>
    <col min="14331" max="14331" width="12.7109375" customWidth="1"/>
    <col min="14332" max="14332" width="72.5703125" customWidth="1"/>
    <col min="14333" max="14337" width="6.7109375" customWidth="1"/>
    <col min="14338" max="14338" width="9.5703125" customWidth="1"/>
    <col min="14587" max="14587" width="12.7109375" customWidth="1"/>
    <col min="14588" max="14588" width="72.5703125" customWidth="1"/>
    <col min="14589" max="14593" width="6.7109375" customWidth="1"/>
    <col min="14594" max="14594" width="9.5703125" customWidth="1"/>
    <col min="14843" max="14843" width="12.7109375" customWidth="1"/>
    <col min="14844" max="14844" width="72.5703125" customWidth="1"/>
    <col min="14845" max="14849" width="6.7109375" customWidth="1"/>
    <col min="14850" max="14850" width="9.5703125" customWidth="1"/>
    <col min="15099" max="15099" width="12.7109375" customWidth="1"/>
    <col min="15100" max="15100" width="72.5703125" customWidth="1"/>
    <col min="15101" max="15105" width="6.7109375" customWidth="1"/>
    <col min="15106" max="15106" width="9.5703125" customWidth="1"/>
    <col min="15355" max="15355" width="12.7109375" customWidth="1"/>
    <col min="15356" max="15356" width="72.5703125" customWidth="1"/>
    <col min="15357" max="15361" width="6.7109375" customWidth="1"/>
    <col min="15362" max="15362" width="9.5703125" customWidth="1"/>
    <col min="15611" max="15611" width="12.7109375" customWidth="1"/>
    <col min="15612" max="15612" width="72.5703125" customWidth="1"/>
    <col min="15613" max="15617" width="6.7109375" customWidth="1"/>
    <col min="15618" max="15618" width="9.5703125" customWidth="1"/>
    <col min="15867" max="15867" width="12.7109375" customWidth="1"/>
    <col min="15868" max="15868" width="72.5703125" customWidth="1"/>
    <col min="15869" max="15873" width="6.7109375" customWidth="1"/>
    <col min="15874" max="15874" width="9.5703125" customWidth="1"/>
    <col min="16123" max="16123" width="12.7109375" customWidth="1"/>
    <col min="16124" max="16124" width="72.5703125" customWidth="1"/>
    <col min="16125" max="16129" width="6.7109375" customWidth="1"/>
    <col min="16130" max="16130" width="9.5703125" customWidth="1"/>
  </cols>
  <sheetData>
    <row r="1" spans="2:9">
      <c r="B1" s="684"/>
      <c r="C1" s="1128" t="s">
        <v>187</v>
      </c>
      <c r="D1" s="685" t="s">
        <v>3691</v>
      </c>
      <c r="E1" s="685"/>
      <c r="F1" s="685"/>
      <c r="G1" s="685"/>
      <c r="H1" s="686"/>
      <c r="I1" s="87"/>
    </row>
    <row r="2" spans="2:9">
      <c r="B2" s="684"/>
      <c r="C2" s="1128" t="s">
        <v>188</v>
      </c>
      <c r="D2" s="685">
        <v>17862944</v>
      </c>
      <c r="E2" s="685"/>
      <c r="F2" s="685"/>
      <c r="G2" s="685"/>
      <c r="H2" s="686"/>
      <c r="I2" s="87"/>
    </row>
    <row r="3" spans="2:9">
      <c r="B3" s="684"/>
      <c r="C3" s="1128"/>
      <c r="D3" s="685"/>
      <c r="E3" s="685"/>
      <c r="F3" s="685"/>
      <c r="G3" s="685"/>
      <c r="H3" s="686"/>
      <c r="I3" s="87"/>
    </row>
    <row r="4" spans="2:9" ht="48.75" customHeight="1">
      <c r="B4" s="684"/>
      <c r="C4" s="1128" t="s">
        <v>1851</v>
      </c>
      <c r="D4" s="1972" t="s">
        <v>1850</v>
      </c>
      <c r="E4" s="1973"/>
      <c r="F4" s="1973"/>
      <c r="G4" s="1973"/>
      <c r="H4" s="1973"/>
      <c r="I4" s="1973"/>
    </row>
    <row r="5" spans="2:9" ht="14.25">
      <c r="B5" s="684"/>
      <c r="C5" s="1128" t="s">
        <v>229</v>
      </c>
      <c r="D5" s="1131"/>
      <c r="E5" s="1131"/>
      <c r="F5" s="1131"/>
      <c r="G5" s="1131"/>
      <c r="H5" s="1132"/>
      <c r="I5" s="87"/>
    </row>
    <row r="6" spans="2:9" ht="15.75">
      <c r="B6" s="142"/>
      <c r="C6" s="687"/>
      <c r="D6" s="1133"/>
      <c r="E6" s="1133"/>
      <c r="F6" s="1133"/>
      <c r="G6" s="1133"/>
      <c r="H6" s="85"/>
      <c r="I6" s="85"/>
    </row>
    <row r="7" spans="2:9" ht="15.75">
      <c r="B7" s="1789">
        <v>260001</v>
      </c>
      <c r="C7" s="1741" t="s">
        <v>2951</v>
      </c>
      <c r="D7" s="1770"/>
    </row>
    <row r="8" spans="2:9" ht="15.75">
      <c r="B8" s="1789">
        <v>260002</v>
      </c>
      <c r="C8" s="1741" t="s">
        <v>2952</v>
      </c>
      <c r="D8" s="1770"/>
    </row>
    <row r="9" spans="2:9" ht="15.75">
      <c r="B9" s="1790">
        <v>260003</v>
      </c>
      <c r="C9" s="1734" t="s">
        <v>2997</v>
      </c>
      <c r="D9" s="1828"/>
    </row>
    <row r="10" spans="2:9" ht="16.5" thickBot="1">
      <c r="B10" s="1789">
        <v>260007</v>
      </c>
      <c r="C10" s="1741" t="s">
        <v>2053</v>
      </c>
      <c r="D10" s="1770"/>
    </row>
    <row r="11" spans="2:9" ht="16.5" thickTop="1">
      <c r="B11" s="1791">
        <v>260007</v>
      </c>
      <c r="C11" s="1749" t="s">
        <v>2053</v>
      </c>
      <c r="D11" s="12"/>
    </row>
    <row r="12" spans="2:9" ht="15.75">
      <c r="B12" s="1792">
        <v>260007</v>
      </c>
      <c r="C12" s="1742" t="s">
        <v>2053</v>
      </c>
      <c r="D12" s="12"/>
    </row>
    <row r="13" spans="2:9" ht="15.75">
      <c r="B13" s="1793">
        <v>260012</v>
      </c>
      <c r="C13" s="1726" t="s">
        <v>2998</v>
      </c>
      <c r="D13" s="12"/>
    </row>
    <row r="14" spans="2:9" ht="15.75">
      <c r="B14" s="1793">
        <v>260014</v>
      </c>
      <c r="C14" s="609" t="s">
        <v>2999</v>
      </c>
      <c r="D14" s="12"/>
    </row>
    <row r="15" spans="2:9" ht="15.75">
      <c r="B15" s="464">
        <v>260076</v>
      </c>
      <c r="C15" s="407" t="s">
        <v>3106</v>
      </c>
      <c r="D15" s="12"/>
    </row>
    <row r="16" spans="2:9" ht="31.5">
      <c r="B16" s="1793">
        <v>260077</v>
      </c>
      <c r="C16" s="1726" t="s">
        <v>3000</v>
      </c>
      <c r="D16" s="12"/>
    </row>
    <row r="17" spans="2:4" ht="15.75">
      <c r="B17" s="1793">
        <v>260078</v>
      </c>
      <c r="C17" s="1726" t="s">
        <v>3011</v>
      </c>
      <c r="D17" s="12"/>
    </row>
    <row r="18" spans="2:4" ht="15.75">
      <c r="B18" s="1792">
        <v>320810</v>
      </c>
      <c r="C18" s="1709" t="s">
        <v>3158</v>
      </c>
      <c r="D18" s="12"/>
    </row>
    <row r="19" spans="2:4" ht="15.75">
      <c r="B19" s="1792">
        <v>320811</v>
      </c>
      <c r="C19" s="1709" t="s">
        <v>3159</v>
      </c>
      <c r="D19" s="12"/>
    </row>
    <row r="20" spans="2:4" ht="15.75">
      <c r="B20" s="1792">
        <v>600011</v>
      </c>
      <c r="C20" s="1699" t="s">
        <v>3160</v>
      </c>
      <c r="D20" s="12"/>
    </row>
    <row r="21" spans="2:4" ht="15.75">
      <c r="B21" s="1792">
        <v>600012</v>
      </c>
      <c r="C21" s="1709" t="s">
        <v>3161</v>
      </c>
      <c r="D21" s="12"/>
    </row>
    <row r="22" spans="2:4" ht="15.75">
      <c r="B22" s="1792">
        <v>600015</v>
      </c>
      <c r="C22" s="1709" t="s">
        <v>3162</v>
      </c>
      <c r="D22" s="12"/>
    </row>
    <row r="23" spans="2:4" ht="15.75">
      <c r="B23" s="1792">
        <v>600016</v>
      </c>
      <c r="C23" s="1758" t="s">
        <v>3163</v>
      </c>
      <c r="D23" s="12"/>
    </row>
    <row r="24" spans="2:4" ht="15.75">
      <c r="B24" s="1792">
        <v>600018</v>
      </c>
      <c r="C24" s="1709" t="s">
        <v>3164</v>
      </c>
      <c r="D24" s="12"/>
    </row>
    <row r="25" spans="2:4" ht="15.75">
      <c r="B25" s="1792">
        <v>600021</v>
      </c>
      <c r="C25" s="1709" t="s">
        <v>3165</v>
      </c>
      <c r="D25" s="12"/>
    </row>
    <row r="26" spans="2:4" ht="15.75">
      <c r="B26" s="1792">
        <v>600022</v>
      </c>
      <c r="C26" s="1709" t="s">
        <v>3166</v>
      </c>
      <c r="D26" s="12"/>
    </row>
    <row r="27" spans="2:4" ht="15.75">
      <c r="B27" s="1792">
        <v>600023</v>
      </c>
      <c r="C27" s="1709" t="s">
        <v>3167</v>
      </c>
      <c r="D27" s="12"/>
    </row>
    <row r="28" spans="2:4" ht="15.75">
      <c r="B28" s="1794">
        <v>600071</v>
      </c>
      <c r="C28" s="1709" t="s">
        <v>3168</v>
      </c>
      <c r="D28" s="12"/>
    </row>
    <row r="29" spans="2:4" ht="15.75">
      <c r="B29" s="1792">
        <v>600103</v>
      </c>
      <c r="C29" s="1699" t="s">
        <v>3169</v>
      </c>
      <c r="D29" s="12"/>
    </row>
    <row r="30" spans="2:4" ht="15.75">
      <c r="B30" s="464">
        <v>600111</v>
      </c>
      <c r="C30" s="416" t="s">
        <v>3170</v>
      </c>
      <c r="D30" s="12"/>
    </row>
    <row r="31" spans="2:4" ht="15.75">
      <c r="B31" s="1792">
        <v>600112</v>
      </c>
      <c r="C31" s="1699" t="s">
        <v>3171</v>
      </c>
      <c r="D31" s="12"/>
    </row>
    <row r="32" spans="2:4" ht="15.75">
      <c r="B32" s="1792">
        <v>600114</v>
      </c>
      <c r="C32" s="1709" t="s">
        <v>3172</v>
      </c>
      <c r="D32" s="12"/>
    </row>
    <row r="33" spans="2:4" ht="31.5">
      <c r="B33" s="1792">
        <v>600115</v>
      </c>
      <c r="C33" s="1709" t="s">
        <v>3173</v>
      </c>
      <c r="D33" s="12"/>
    </row>
    <row r="34" spans="2:4" ht="15.75">
      <c r="B34" s="1792">
        <v>600120</v>
      </c>
      <c r="C34" s="1709" t="s">
        <v>3174</v>
      </c>
      <c r="D34" s="12"/>
    </row>
    <row r="35" spans="2:4" ht="15.75">
      <c r="B35" s="1792">
        <v>600122</v>
      </c>
      <c r="C35" s="1709" t="s">
        <v>3175</v>
      </c>
      <c r="D35" s="12"/>
    </row>
    <row r="36" spans="2:4" ht="31.5">
      <c r="B36" s="1792">
        <v>600123</v>
      </c>
      <c r="C36" s="1699" t="s">
        <v>3176</v>
      </c>
      <c r="D36" s="12"/>
    </row>
    <row r="37" spans="2:4" ht="15.75">
      <c r="B37" s="1792">
        <v>600124</v>
      </c>
      <c r="C37" s="1699" t="s">
        <v>3177</v>
      </c>
      <c r="D37" s="12"/>
    </row>
    <row r="38" spans="2:4" ht="15.75">
      <c r="B38" s="1792">
        <v>600169</v>
      </c>
      <c r="C38" s="1699" t="s">
        <v>3178</v>
      </c>
      <c r="D38" s="12"/>
    </row>
    <row r="39" spans="2:4" ht="15.75">
      <c r="B39" s="1792">
        <v>600173</v>
      </c>
      <c r="C39" s="1699" t="s">
        <v>3179</v>
      </c>
      <c r="D39" s="12"/>
    </row>
    <row r="40" spans="2:4" ht="15.75">
      <c r="B40" s="1792">
        <v>600348</v>
      </c>
      <c r="C40" s="1699" t="s">
        <v>3180</v>
      </c>
      <c r="D40" s="12"/>
    </row>
    <row r="41" spans="2:4" ht="15.75">
      <c r="B41" s="1792">
        <v>600349</v>
      </c>
      <c r="C41" s="1699" t="s">
        <v>3181</v>
      </c>
      <c r="D41" s="12"/>
    </row>
    <row r="42" spans="2:4" ht="15.75">
      <c r="B42" s="1792">
        <v>600351</v>
      </c>
      <c r="C42" s="1699" t="s">
        <v>3182</v>
      </c>
      <c r="D42" s="12"/>
    </row>
    <row r="43" spans="2:4" ht="31.5">
      <c r="B43" s="1792">
        <v>600803</v>
      </c>
      <c r="C43" s="1699" t="s">
        <v>3183</v>
      </c>
      <c r="D43" s="12"/>
    </row>
    <row r="44" spans="2:4" ht="15.75">
      <c r="B44" s="464">
        <v>8184901</v>
      </c>
      <c r="C44" s="416" t="s">
        <v>4111</v>
      </c>
      <c r="D44" s="12"/>
    </row>
    <row r="45" spans="2:4" ht="15.75">
      <c r="B45" s="1796">
        <v>57506001</v>
      </c>
      <c r="C45" s="1760" t="s">
        <v>3827</v>
      </c>
      <c r="D45" s="12"/>
    </row>
    <row r="46" spans="2:4" ht="15.75">
      <c r="B46" s="1796">
        <v>57506011</v>
      </c>
      <c r="C46" s="1760" t="s">
        <v>3828</v>
      </c>
      <c r="D46" s="12"/>
    </row>
    <row r="47" spans="2:4" ht="15.75">
      <c r="B47" s="1796">
        <v>57506021</v>
      </c>
      <c r="C47" s="1760" t="s">
        <v>3829</v>
      </c>
      <c r="D47" s="12"/>
    </row>
    <row r="48" spans="2:4" ht="15.75">
      <c r="B48" s="1796">
        <v>57506031</v>
      </c>
      <c r="C48" s="1760" t="s">
        <v>3830</v>
      </c>
      <c r="D48" s="12"/>
    </row>
    <row r="49" spans="2:4" ht="15.75">
      <c r="B49" s="1796">
        <v>57506041</v>
      </c>
      <c r="C49" s="1760" t="s">
        <v>3831</v>
      </c>
      <c r="D49" s="12"/>
    </row>
    <row r="50" spans="2:4" ht="15.75">
      <c r="B50" s="1796">
        <v>57518001</v>
      </c>
      <c r="C50" s="1760" t="s">
        <v>3836</v>
      </c>
      <c r="D50" s="12"/>
    </row>
    <row r="51" spans="2:4" ht="15.75">
      <c r="B51" s="1796">
        <v>57518011</v>
      </c>
      <c r="C51" s="1760" t="s">
        <v>3837</v>
      </c>
      <c r="D51" s="12"/>
    </row>
    <row r="52" spans="2:4" ht="15.75">
      <c r="B52" s="1796">
        <v>57518031</v>
      </c>
      <c r="C52" s="1760" t="s">
        <v>3838</v>
      </c>
      <c r="D52" s="12"/>
    </row>
    <row r="53" spans="2:4" ht="15.75">
      <c r="B53" s="1796">
        <v>57518041</v>
      </c>
      <c r="C53" s="1760" t="s">
        <v>3839</v>
      </c>
      <c r="D53" s="12"/>
    </row>
    <row r="54" spans="2:4" ht="15.75">
      <c r="B54" s="1797">
        <v>57700001</v>
      </c>
      <c r="C54" s="1760" t="s">
        <v>3826</v>
      </c>
      <c r="D54" s="12"/>
    </row>
    <row r="55" spans="2:4" ht="15.75">
      <c r="B55" s="1796">
        <v>57706001</v>
      </c>
      <c r="C55" s="1760" t="s">
        <v>3825</v>
      </c>
      <c r="D55" s="12"/>
    </row>
    <row r="56" spans="2:4" ht="15.75">
      <c r="B56" s="1796">
        <v>57712001</v>
      </c>
      <c r="C56" s="1760" t="s">
        <v>3834</v>
      </c>
      <c r="D56" s="12"/>
    </row>
    <row r="57" spans="2:4" ht="15.75">
      <c r="B57" s="1796">
        <v>57715001</v>
      </c>
      <c r="C57" s="1760" t="s">
        <v>3835</v>
      </c>
      <c r="D57" s="12"/>
    </row>
    <row r="58" spans="2:4" ht="15.75">
      <c r="B58" s="1796">
        <v>57901001</v>
      </c>
      <c r="C58" s="1760" t="s">
        <v>3843</v>
      </c>
      <c r="D58" s="12"/>
    </row>
    <row r="59" spans="2:4" ht="15.75">
      <c r="B59" s="1796">
        <v>57903001</v>
      </c>
      <c r="C59" s="1760" t="s">
        <v>3840</v>
      </c>
      <c r="D59" s="12"/>
    </row>
    <row r="60" spans="2:4" ht="15.75">
      <c r="B60" s="1796">
        <v>57906001</v>
      </c>
      <c r="C60" s="1760" t="s">
        <v>3870</v>
      </c>
      <c r="D60" s="12"/>
    </row>
    <row r="61" spans="2:4" ht="15.75">
      <c r="B61" s="1796">
        <v>57912001</v>
      </c>
      <c r="C61" s="1760" t="s">
        <v>3873</v>
      </c>
      <c r="D61" s="12"/>
    </row>
    <row r="62" spans="2:4" ht="15.75">
      <c r="B62" s="1796">
        <v>57921001</v>
      </c>
      <c r="C62" s="1760" t="s">
        <v>3872</v>
      </c>
      <c r="D62" s="12"/>
    </row>
    <row r="63" spans="2:4" ht="15.75">
      <c r="B63" s="1796">
        <v>57927001</v>
      </c>
      <c r="C63" s="1760" t="s">
        <v>3871</v>
      </c>
      <c r="D63" s="12"/>
    </row>
    <row r="64" spans="2:4" ht="15.75">
      <c r="B64" s="1796">
        <v>58100001</v>
      </c>
      <c r="C64" s="1760" t="s">
        <v>3822</v>
      </c>
      <c r="D64" s="12"/>
    </row>
    <row r="65" spans="2:4" ht="15.75">
      <c r="B65" s="1796">
        <v>58103001</v>
      </c>
      <c r="C65" s="1760" t="s">
        <v>3823</v>
      </c>
      <c r="D65" s="12"/>
    </row>
    <row r="66" spans="2:4" ht="15.75">
      <c r="B66" s="1796">
        <v>58106001</v>
      </c>
      <c r="C66" s="1760" t="s">
        <v>3824</v>
      </c>
      <c r="D66" s="12"/>
    </row>
    <row r="67" spans="2:4" ht="15.75">
      <c r="B67" s="1796">
        <v>58500001</v>
      </c>
      <c r="C67" s="1760" t="s">
        <v>3910</v>
      </c>
      <c r="D67" s="12"/>
    </row>
    <row r="68" spans="2:4" ht="15.75">
      <c r="B68" s="1796">
        <v>58521001</v>
      </c>
      <c r="C68" s="1760" t="s">
        <v>3832</v>
      </c>
      <c r="D68" s="12"/>
    </row>
    <row r="69" spans="2:4" ht="15.75">
      <c r="B69" s="1796">
        <v>58700001</v>
      </c>
      <c r="C69" s="1760" t="s">
        <v>3868</v>
      </c>
      <c r="D69" s="12"/>
    </row>
    <row r="70" spans="2:4" ht="15.75">
      <c r="B70" s="1796">
        <v>58900001</v>
      </c>
      <c r="C70" s="1760" t="s">
        <v>3833</v>
      </c>
      <c r="D70" s="12"/>
    </row>
    <row r="71" spans="2:4" ht="15.75">
      <c r="B71" s="1798">
        <v>59300001</v>
      </c>
      <c r="C71" s="1761" t="s">
        <v>3867</v>
      </c>
      <c r="D71" s="12"/>
    </row>
    <row r="72" spans="2:4" ht="15.75">
      <c r="B72" s="1798">
        <v>59303001</v>
      </c>
      <c r="C72" s="1761" t="s">
        <v>3866</v>
      </c>
      <c r="D72" s="12"/>
    </row>
    <row r="73" spans="2:4" ht="15.75">
      <c r="B73" s="1798">
        <v>59712001</v>
      </c>
      <c r="C73" s="1761" t="s">
        <v>3869</v>
      </c>
      <c r="D73" s="12"/>
    </row>
    <row r="74" spans="2:4" ht="15.75">
      <c r="B74" s="1697" t="s">
        <v>1888</v>
      </c>
      <c r="C74" s="1708" t="s">
        <v>3218</v>
      </c>
      <c r="D74" s="12"/>
    </row>
    <row r="75" spans="2:4" ht="15.75">
      <c r="B75" s="1799" t="s">
        <v>3153</v>
      </c>
      <c r="C75" s="1701" t="s">
        <v>3154</v>
      </c>
      <c r="D75" s="12"/>
    </row>
    <row r="76" spans="2:4" ht="15.75">
      <c r="B76" s="1800" t="s">
        <v>3012</v>
      </c>
      <c r="C76" s="1716" t="s">
        <v>3013</v>
      </c>
      <c r="D76" s="12"/>
    </row>
    <row r="77" spans="2:4" ht="15.75">
      <c r="B77" s="1795" t="s">
        <v>3097</v>
      </c>
      <c r="C77" s="1752" t="s">
        <v>3098</v>
      </c>
      <c r="D77" s="12"/>
    </row>
    <row r="78" spans="2:4" ht="31.5">
      <c r="B78" s="464" t="s">
        <v>2812</v>
      </c>
      <c r="C78" s="407" t="s">
        <v>2813</v>
      </c>
      <c r="D78" s="12"/>
    </row>
    <row r="79" spans="2:4" ht="15.75">
      <c r="B79" s="1801" t="s">
        <v>2993</v>
      </c>
      <c r="C79" s="1710" t="s">
        <v>2994</v>
      </c>
      <c r="D79" s="12"/>
    </row>
    <row r="80" spans="2:4" ht="15.75">
      <c r="B80" s="464" t="s">
        <v>2814</v>
      </c>
      <c r="C80" s="1088" t="s">
        <v>2815</v>
      </c>
      <c r="D80" s="12"/>
    </row>
    <row r="81" spans="2:4" ht="15.75">
      <c r="B81" s="464" t="s">
        <v>2342</v>
      </c>
      <c r="C81" s="1088" t="s">
        <v>2343</v>
      </c>
      <c r="D81" s="12"/>
    </row>
    <row r="82" spans="2:4" ht="15.75">
      <c r="B82" s="464" t="s">
        <v>2816</v>
      </c>
      <c r="C82" s="1088" t="s">
        <v>2817</v>
      </c>
      <c r="D82" s="12"/>
    </row>
    <row r="83" spans="2:4" ht="15.75">
      <c r="B83" s="464" t="s">
        <v>2818</v>
      </c>
      <c r="C83" s="431" t="s">
        <v>2819</v>
      </c>
      <c r="D83" s="12"/>
    </row>
    <row r="84" spans="2:4" ht="15.75">
      <c r="B84" s="464" t="s">
        <v>3850</v>
      </c>
      <c r="C84" s="432" t="s">
        <v>3851</v>
      </c>
      <c r="D84" s="12"/>
    </row>
    <row r="85" spans="2:4" ht="15.75">
      <c r="B85" s="464" t="s">
        <v>2973</v>
      </c>
      <c r="C85" s="432" t="s">
        <v>2974</v>
      </c>
      <c r="D85" s="12"/>
    </row>
    <row r="86" spans="2:4" ht="15.75">
      <c r="B86" s="464" t="s">
        <v>2820</v>
      </c>
      <c r="C86" s="432" t="s">
        <v>2112</v>
      </c>
      <c r="D86" s="12"/>
    </row>
    <row r="87" spans="2:4" ht="15.75">
      <c r="B87" s="1801" t="s">
        <v>2995</v>
      </c>
      <c r="C87" s="638" t="s">
        <v>2996</v>
      </c>
      <c r="D87" s="12"/>
    </row>
    <row r="88" spans="2:4" ht="15.75">
      <c r="B88" s="464" t="s">
        <v>2821</v>
      </c>
      <c r="C88" s="1088" t="s">
        <v>2822</v>
      </c>
      <c r="D88" s="12"/>
    </row>
    <row r="89" spans="2:4" ht="15.75">
      <c r="B89" s="464" t="s">
        <v>2975</v>
      </c>
      <c r="C89" s="1088" t="s">
        <v>2976</v>
      </c>
      <c r="D89" s="12"/>
    </row>
    <row r="90" spans="2:4" ht="15.75">
      <c r="B90" s="464" t="s">
        <v>3250</v>
      </c>
      <c r="C90" s="1088" t="s">
        <v>3251</v>
      </c>
      <c r="D90" s="12"/>
    </row>
    <row r="91" spans="2:4" ht="15.75">
      <c r="B91" s="464" t="s">
        <v>3252</v>
      </c>
      <c r="C91" s="1088" t="s">
        <v>3253</v>
      </c>
      <c r="D91" s="12"/>
    </row>
    <row r="92" spans="2:4" ht="15.75">
      <c r="B92" s="464" t="s">
        <v>3254</v>
      </c>
      <c r="C92" s="1088" t="s">
        <v>3255</v>
      </c>
      <c r="D92" s="12"/>
    </row>
    <row r="93" spans="2:4" ht="15.75">
      <c r="B93" s="464" t="s">
        <v>2949</v>
      </c>
      <c r="C93" s="1088" t="s">
        <v>2950</v>
      </c>
      <c r="D93" s="12"/>
    </row>
    <row r="94" spans="2:4" ht="15.75">
      <c r="B94" s="562" t="s">
        <v>2880</v>
      </c>
      <c r="C94" s="1730" t="s">
        <v>2881</v>
      </c>
      <c r="D94" s="12"/>
    </row>
    <row r="95" spans="2:4" ht="15.75">
      <c r="B95" s="562" t="s">
        <v>2882</v>
      </c>
      <c r="C95" s="1730" t="s">
        <v>2883</v>
      </c>
      <c r="D95" s="12"/>
    </row>
    <row r="96" spans="2:4" ht="15.75">
      <c r="B96" s="464" t="s">
        <v>2872</v>
      </c>
      <c r="C96" s="1088" t="s">
        <v>2114</v>
      </c>
      <c r="D96" s="12"/>
    </row>
    <row r="97" spans="2:4" ht="15.75">
      <c r="B97" s="464" t="s">
        <v>2113</v>
      </c>
      <c r="C97" s="1088" t="s">
        <v>2114</v>
      </c>
      <c r="D97" s="12"/>
    </row>
    <row r="98" spans="2:4" ht="31.5">
      <c r="B98" s="562" t="s">
        <v>2884</v>
      </c>
      <c r="C98" s="1730" t="s">
        <v>2885</v>
      </c>
      <c r="D98" s="12"/>
    </row>
    <row r="99" spans="2:4" ht="31.5">
      <c r="B99" s="562" t="s">
        <v>2886</v>
      </c>
      <c r="C99" s="1730" t="s">
        <v>2887</v>
      </c>
      <c r="D99" s="12"/>
    </row>
    <row r="100" spans="2:4" ht="15.75">
      <c r="B100" s="464" t="s">
        <v>2765</v>
      </c>
      <c r="C100" s="1088" t="s">
        <v>2766</v>
      </c>
      <c r="D100" s="12"/>
    </row>
    <row r="101" spans="2:4" ht="15.75">
      <c r="B101" s="464" t="s">
        <v>2663</v>
      </c>
      <c r="C101" s="1088" t="s">
        <v>2664</v>
      </c>
      <c r="D101" s="12"/>
    </row>
    <row r="102" spans="2:4" ht="15.75">
      <c r="B102" s="464" t="s">
        <v>2665</v>
      </c>
      <c r="C102" s="431" t="s">
        <v>2666</v>
      </c>
      <c r="D102" s="12"/>
    </row>
    <row r="103" spans="2:4" ht="15.75">
      <c r="B103" s="464" t="s">
        <v>2823</v>
      </c>
      <c r="C103" s="406" t="s">
        <v>2824</v>
      </c>
      <c r="D103" s="12"/>
    </row>
    <row r="104" spans="2:4" ht="15.75">
      <c r="B104" s="464" t="s">
        <v>2667</v>
      </c>
      <c r="C104" s="406" t="s">
        <v>2668</v>
      </c>
      <c r="D104" s="12"/>
    </row>
    <row r="105" spans="2:4" ht="15.75">
      <c r="B105" s="464" t="s">
        <v>2669</v>
      </c>
      <c r="C105" s="406" t="s">
        <v>2670</v>
      </c>
      <c r="D105" s="12"/>
    </row>
    <row r="106" spans="2:4" ht="15.75">
      <c r="B106" s="464" t="s">
        <v>2671</v>
      </c>
      <c r="C106" s="406" t="s">
        <v>2672</v>
      </c>
      <c r="D106" s="12"/>
    </row>
    <row r="107" spans="2:4" ht="15.75">
      <c r="B107" s="464" t="s">
        <v>2673</v>
      </c>
      <c r="C107" s="406" t="s">
        <v>2674</v>
      </c>
      <c r="D107" s="12"/>
    </row>
    <row r="108" spans="2:4" ht="15.75">
      <c r="B108" s="464" t="s">
        <v>2711</v>
      </c>
      <c r="C108" s="406" t="s">
        <v>2712</v>
      </c>
      <c r="D108" s="12"/>
    </row>
    <row r="109" spans="2:4" ht="15.75">
      <c r="B109" s="464" t="s">
        <v>2713</v>
      </c>
      <c r="C109" s="406" t="s">
        <v>2714</v>
      </c>
      <c r="D109" s="12"/>
    </row>
    <row r="110" spans="2:4" ht="15.75">
      <c r="B110" s="464" t="s">
        <v>2715</v>
      </c>
      <c r="C110" s="406" t="s">
        <v>2716</v>
      </c>
      <c r="D110" s="12"/>
    </row>
    <row r="111" spans="2:4" ht="15.75">
      <c r="B111" s="562" t="s">
        <v>2888</v>
      </c>
      <c r="C111" s="567" t="s">
        <v>2889</v>
      </c>
      <c r="D111" s="12"/>
    </row>
    <row r="112" spans="2:4" ht="15.75">
      <c r="B112" s="1698" t="s">
        <v>2890</v>
      </c>
      <c r="C112" s="562" t="s">
        <v>2891</v>
      </c>
      <c r="D112" s="12"/>
    </row>
    <row r="113" spans="2:4" ht="15.75">
      <c r="B113" s="562" t="s">
        <v>2892</v>
      </c>
      <c r="C113" s="1711" t="s">
        <v>2893</v>
      </c>
      <c r="D113" s="12"/>
    </row>
    <row r="114" spans="2:4" ht="15.75">
      <c r="B114" s="1802" t="s">
        <v>3156</v>
      </c>
      <c r="C114" s="638" t="s">
        <v>3157</v>
      </c>
      <c r="D114" s="12"/>
    </row>
    <row r="115" spans="2:4" ht="15.75">
      <c r="B115" s="464" t="s">
        <v>2634</v>
      </c>
      <c r="C115" s="1088" t="s">
        <v>2635</v>
      </c>
      <c r="D115" s="12"/>
    </row>
    <row r="116" spans="2:4" ht="31.5">
      <c r="B116" s="464" t="s">
        <v>2344</v>
      </c>
      <c r="C116" s="1088" t="s">
        <v>2345</v>
      </c>
      <c r="D116" s="12"/>
    </row>
    <row r="117" spans="2:4" ht="31.5">
      <c r="B117" s="464" t="s">
        <v>2346</v>
      </c>
      <c r="C117" s="1088" t="s">
        <v>2347</v>
      </c>
      <c r="D117" s="12"/>
    </row>
    <row r="118" spans="2:4" ht="31.5">
      <c r="B118" s="464" t="s">
        <v>2348</v>
      </c>
      <c r="C118" s="1088" t="s">
        <v>2349</v>
      </c>
      <c r="D118" s="12"/>
    </row>
    <row r="119" spans="2:4" ht="15.75">
      <c r="B119" s="411" t="s">
        <v>2021</v>
      </c>
      <c r="C119" s="430" t="s">
        <v>2022</v>
      </c>
      <c r="D119" s="12"/>
    </row>
    <row r="120" spans="2:4" ht="32.25" thickBot="1">
      <c r="B120" s="464" t="s">
        <v>2279</v>
      </c>
      <c r="C120" s="464" t="s">
        <v>2280</v>
      </c>
      <c r="D120" s="12"/>
    </row>
    <row r="121" spans="2:4" ht="16.5" thickBot="1">
      <c r="B121" s="464" t="s">
        <v>2054</v>
      </c>
      <c r="C121" s="1706" t="s">
        <v>2055</v>
      </c>
      <c r="D121" s="12"/>
    </row>
    <row r="122" spans="2:4" ht="15.75">
      <c r="B122" s="1803" t="s">
        <v>2281</v>
      </c>
      <c r="C122" s="1728" t="s">
        <v>2282</v>
      </c>
      <c r="D122" s="12"/>
    </row>
    <row r="123" spans="2:4" ht="15.75">
      <c r="B123" s="464" t="s">
        <v>3069</v>
      </c>
      <c r="C123" s="407" t="s">
        <v>3070</v>
      </c>
      <c r="D123" s="12"/>
    </row>
    <row r="124" spans="2:4" ht="15.75">
      <c r="B124" s="1795" t="s">
        <v>3003</v>
      </c>
      <c r="C124" s="1754" t="s">
        <v>3004</v>
      </c>
      <c r="D124" s="12"/>
    </row>
    <row r="125" spans="2:4" ht="31.5">
      <c r="B125" s="464" t="s">
        <v>2283</v>
      </c>
      <c r="C125" s="465" t="s">
        <v>2284</v>
      </c>
      <c r="D125" s="12"/>
    </row>
    <row r="126" spans="2:4" ht="15.75">
      <c r="B126" s="464" t="s">
        <v>1911</v>
      </c>
      <c r="C126" s="407" t="s">
        <v>1912</v>
      </c>
      <c r="D126" s="12"/>
    </row>
    <row r="127" spans="2:4" ht="15.75">
      <c r="B127" s="464" t="s">
        <v>2143</v>
      </c>
      <c r="C127" s="465" t="s">
        <v>2144</v>
      </c>
      <c r="D127" s="12"/>
    </row>
    <row r="128" spans="2:4" ht="15.75">
      <c r="B128" s="411" t="s">
        <v>1913</v>
      </c>
      <c r="C128" s="412" t="s">
        <v>1914</v>
      </c>
      <c r="D128" s="12"/>
    </row>
    <row r="129" spans="2:4" ht="15.75">
      <c r="B129" s="1267" t="s">
        <v>3990</v>
      </c>
      <c r="C129" s="1732" t="s">
        <v>3991</v>
      </c>
      <c r="D129" s="12"/>
    </row>
    <row r="130" spans="2:4" ht="15.75">
      <c r="B130" s="411" t="s">
        <v>2403</v>
      </c>
      <c r="C130" s="508" t="s">
        <v>2404</v>
      </c>
      <c r="D130" s="12"/>
    </row>
    <row r="131" spans="2:4" ht="15.75">
      <c r="B131" s="1803" t="s">
        <v>3108</v>
      </c>
      <c r="C131" s="1728" t="s">
        <v>3109</v>
      </c>
      <c r="D131" s="12"/>
    </row>
    <row r="132" spans="2:4" ht="15.75">
      <c r="B132" s="1803" t="s">
        <v>3110</v>
      </c>
      <c r="C132" s="1728" t="s">
        <v>3111</v>
      </c>
      <c r="D132" s="12"/>
    </row>
    <row r="133" spans="2:4" ht="15.75">
      <c r="B133" s="464" t="s">
        <v>2023</v>
      </c>
      <c r="C133" s="407" t="s">
        <v>2024</v>
      </c>
      <c r="D133" s="12"/>
    </row>
    <row r="134" spans="2:4" ht="15.75">
      <c r="B134" s="464" t="s">
        <v>2286</v>
      </c>
      <c r="C134" s="407" t="s">
        <v>2287</v>
      </c>
      <c r="D134" s="12"/>
    </row>
    <row r="135" spans="2:4" ht="15.75">
      <c r="B135" s="1804" t="s">
        <v>3113</v>
      </c>
      <c r="C135" s="1743" t="s">
        <v>3114</v>
      </c>
      <c r="D135" s="12"/>
    </row>
    <row r="136" spans="2:4" ht="15.75">
      <c r="B136" s="1803" t="s">
        <v>3115</v>
      </c>
      <c r="C136" s="1702" t="s">
        <v>3116</v>
      </c>
      <c r="D136" s="12"/>
    </row>
    <row r="137" spans="2:4" ht="15.75">
      <c r="B137" s="1803" t="s">
        <v>3117</v>
      </c>
      <c r="C137" s="1728" t="s">
        <v>3118</v>
      </c>
      <c r="D137" s="12"/>
    </row>
    <row r="138" spans="2:4" ht="15.75">
      <c r="B138" s="1804" t="s">
        <v>3119</v>
      </c>
      <c r="C138" s="1747" t="s">
        <v>3120</v>
      </c>
      <c r="D138" s="12"/>
    </row>
    <row r="139" spans="2:4" ht="15.75">
      <c r="B139" s="464" t="s">
        <v>2025</v>
      </c>
      <c r="C139" s="407" t="s">
        <v>2026</v>
      </c>
      <c r="D139" s="12"/>
    </row>
    <row r="140" spans="2:4" ht="15.75">
      <c r="B140" s="1803" t="s">
        <v>3121</v>
      </c>
      <c r="C140" s="1728" t="s">
        <v>3122</v>
      </c>
      <c r="D140" s="12"/>
    </row>
    <row r="141" spans="2:4" ht="15.75">
      <c r="B141" s="464" t="s">
        <v>2288</v>
      </c>
      <c r="C141" s="407" t="s">
        <v>2289</v>
      </c>
      <c r="D141" s="12"/>
    </row>
    <row r="142" spans="2:4" ht="15.75">
      <c r="B142" s="464" t="s">
        <v>2290</v>
      </c>
      <c r="C142" s="407" t="s">
        <v>2291</v>
      </c>
      <c r="D142" s="12"/>
    </row>
    <row r="143" spans="2:4" ht="15.75">
      <c r="B143" s="464" t="s">
        <v>2292</v>
      </c>
      <c r="C143" s="407" t="s">
        <v>2293</v>
      </c>
      <c r="D143" s="12"/>
    </row>
    <row r="144" spans="2:4" ht="15.75">
      <c r="B144" s="464" t="s">
        <v>2294</v>
      </c>
      <c r="C144" s="465" t="s">
        <v>2295</v>
      </c>
      <c r="D144" s="12"/>
    </row>
    <row r="145" spans="2:4" ht="15.75">
      <c r="B145" s="464" t="s">
        <v>2296</v>
      </c>
      <c r="C145" s="478" t="s">
        <v>2297</v>
      </c>
      <c r="D145" s="12"/>
    </row>
    <row r="146" spans="2:4" ht="15.75">
      <c r="B146" s="464" t="s">
        <v>2298</v>
      </c>
      <c r="C146" s="407" t="s">
        <v>2299</v>
      </c>
      <c r="D146" s="12"/>
    </row>
    <row r="147" spans="2:4" ht="15.75">
      <c r="B147" s="464" t="s">
        <v>3071</v>
      </c>
      <c r="C147" s="407" t="s">
        <v>3072</v>
      </c>
      <c r="D147" s="12"/>
    </row>
    <row r="148" spans="2:4" ht="15.75">
      <c r="B148" s="464" t="s">
        <v>2145</v>
      </c>
      <c r="C148" s="465" t="s">
        <v>2146</v>
      </c>
      <c r="D148" s="12"/>
    </row>
    <row r="149" spans="2:4" ht="15.75">
      <c r="B149" s="464" t="s">
        <v>2147</v>
      </c>
      <c r="C149" s="407" t="s">
        <v>2148</v>
      </c>
      <c r="D149" s="12"/>
    </row>
    <row r="150" spans="2:4" ht="15.75">
      <c r="B150" s="464" t="s">
        <v>2149</v>
      </c>
      <c r="C150" s="465" t="s">
        <v>2150</v>
      </c>
      <c r="D150" s="12"/>
    </row>
    <row r="151" spans="2:4" ht="15.75">
      <c r="B151" s="464" t="s">
        <v>2151</v>
      </c>
      <c r="C151" s="465" t="s">
        <v>2152</v>
      </c>
      <c r="D151" s="12"/>
    </row>
    <row r="152" spans="2:4" ht="15.75">
      <c r="B152" s="464" t="s">
        <v>2153</v>
      </c>
      <c r="C152" s="465" t="s">
        <v>2154</v>
      </c>
      <c r="D152" s="12"/>
    </row>
    <row r="153" spans="2:4" ht="15.75">
      <c r="B153" s="1333" t="s">
        <v>4096</v>
      </c>
      <c r="C153" s="1718" t="s">
        <v>4097</v>
      </c>
      <c r="D153" s="12"/>
    </row>
    <row r="154" spans="2:4" ht="15.75">
      <c r="B154" s="464" t="s">
        <v>2155</v>
      </c>
      <c r="C154" s="465" t="s">
        <v>2156</v>
      </c>
      <c r="D154" s="12"/>
    </row>
    <row r="155" spans="2:4" ht="15.75">
      <c r="B155" s="1333" t="s">
        <v>4100</v>
      </c>
      <c r="C155" s="1718" t="s">
        <v>4101</v>
      </c>
      <c r="D155" s="12"/>
    </row>
    <row r="156" spans="2:4" ht="15.75">
      <c r="B156" s="464" t="s">
        <v>2157</v>
      </c>
      <c r="C156" s="1109" t="s">
        <v>2158</v>
      </c>
      <c r="D156" s="12"/>
    </row>
    <row r="157" spans="2:4" ht="15.75">
      <c r="B157" s="464" t="s">
        <v>2159</v>
      </c>
      <c r="C157" s="465" t="s">
        <v>2160</v>
      </c>
      <c r="D157" s="12"/>
    </row>
    <row r="158" spans="2:4" ht="15.75">
      <c r="B158" s="464" t="s">
        <v>2161</v>
      </c>
      <c r="C158" s="465" t="s">
        <v>2162</v>
      </c>
      <c r="D158" s="12"/>
    </row>
    <row r="159" spans="2:4" ht="15.75">
      <c r="B159" s="464" t="s">
        <v>2163</v>
      </c>
      <c r="C159" s="465" t="s">
        <v>2164</v>
      </c>
      <c r="D159" s="12"/>
    </row>
    <row r="160" spans="2:4" ht="15.75">
      <c r="B160" s="1817" t="s">
        <v>2165</v>
      </c>
      <c r="C160" s="1109" t="s">
        <v>2166</v>
      </c>
      <c r="D160" s="12"/>
    </row>
    <row r="161" spans="2:4" ht="15.75">
      <c r="B161" s="464" t="s">
        <v>2167</v>
      </c>
      <c r="C161" s="465" t="s">
        <v>2168</v>
      </c>
      <c r="D161" s="12"/>
    </row>
    <row r="162" spans="2:4" ht="15.75">
      <c r="B162" s="464" t="s">
        <v>2676</v>
      </c>
      <c r="C162" s="407" t="s">
        <v>2677</v>
      </c>
      <c r="D162" s="12"/>
    </row>
    <row r="163" spans="2:4" ht="15.75">
      <c r="B163" s="1267" t="s">
        <v>2169</v>
      </c>
      <c r="C163" s="1264" t="s">
        <v>2170</v>
      </c>
      <c r="D163" s="12"/>
    </row>
    <row r="164" spans="2:4" ht="15.75">
      <c r="B164" s="464" t="s">
        <v>2171</v>
      </c>
      <c r="C164" s="465" t="s">
        <v>2172</v>
      </c>
      <c r="D164" s="12"/>
    </row>
    <row r="165" spans="2:4" ht="15.75">
      <c r="B165" s="464" t="s">
        <v>2678</v>
      </c>
      <c r="C165" s="407" t="s">
        <v>2172</v>
      </c>
      <c r="D165" s="12"/>
    </row>
    <row r="166" spans="2:4" ht="15.75">
      <c r="B166" s="464" t="s">
        <v>2173</v>
      </c>
      <c r="C166" s="465" t="s">
        <v>2174</v>
      </c>
      <c r="D166" s="12"/>
    </row>
    <row r="167" spans="2:4" ht="15.75">
      <c r="B167" s="464" t="s">
        <v>2175</v>
      </c>
      <c r="C167" s="465" t="s">
        <v>2176</v>
      </c>
      <c r="D167" s="12"/>
    </row>
    <row r="168" spans="2:4" ht="31.5">
      <c r="B168" s="464" t="s">
        <v>2177</v>
      </c>
      <c r="C168" s="478" t="s">
        <v>2178</v>
      </c>
      <c r="D168" s="12"/>
    </row>
    <row r="169" spans="2:4" ht="15.75">
      <c r="B169" s="464" t="s">
        <v>2179</v>
      </c>
      <c r="C169" s="478" t="s">
        <v>2180</v>
      </c>
      <c r="D169" s="12"/>
    </row>
    <row r="170" spans="2:4" ht="31.5">
      <c r="B170" s="464" t="s">
        <v>2181</v>
      </c>
      <c r="C170" s="478" t="s">
        <v>2182</v>
      </c>
      <c r="D170" s="12"/>
    </row>
    <row r="171" spans="2:4" ht="31.5">
      <c r="B171" s="464" t="s">
        <v>2183</v>
      </c>
      <c r="C171" s="406" t="s">
        <v>2184</v>
      </c>
      <c r="D171" s="12"/>
    </row>
    <row r="172" spans="2:4" ht="15.75">
      <c r="B172" s="464" t="s">
        <v>2185</v>
      </c>
      <c r="C172" s="478" t="s">
        <v>2186</v>
      </c>
      <c r="D172" s="12"/>
    </row>
    <row r="173" spans="2:4" ht="15.75">
      <c r="B173" s="1267" t="s">
        <v>3985</v>
      </c>
      <c r="C173" s="1268" t="s">
        <v>4028</v>
      </c>
      <c r="D173" s="12"/>
    </row>
    <row r="174" spans="2:4" ht="15.75">
      <c r="B174" s="1267" t="s">
        <v>3986</v>
      </c>
      <c r="C174" s="1268" t="s">
        <v>3987</v>
      </c>
      <c r="D174" s="12"/>
    </row>
    <row r="175" spans="2:4" ht="15.75">
      <c r="B175" s="471" t="s">
        <v>2187</v>
      </c>
      <c r="C175" s="1729" t="s">
        <v>2188</v>
      </c>
      <c r="D175" s="12"/>
    </row>
    <row r="176" spans="2:4" ht="15.75">
      <c r="B176" s="464" t="s">
        <v>2189</v>
      </c>
      <c r="C176" s="478" t="s">
        <v>2190</v>
      </c>
      <c r="D176" s="12"/>
    </row>
    <row r="177" spans="2:4" ht="31.5">
      <c r="B177" s="464" t="s">
        <v>2191</v>
      </c>
      <c r="C177" s="478" t="s">
        <v>2192</v>
      </c>
      <c r="D177" s="12"/>
    </row>
    <row r="178" spans="2:4" ht="15.75">
      <c r="B178" s="471" t="s">
        <v>2193</v>
      </c>
      <c r="C178" s="1729" t="s">
        <v>2194</v>
      </c>
      <c r="D178" s="12"/>
    </row>
    <row r="179" spans="2:4" ht="15.75">
      <c r="B179" s="471" t="s">
        <v>2195</v>
      </c>
      <c r="C179" s="1729" t="s">
        <v>2196</v>
      </c>
      <c r="D179" s="12"/>
    </row>
    <row r="180" spans="2:4" ht="15.75">
      <c r="B180" s="471" t="s">
        <v>2197</v>
      </c>
      <c r="C180" s="1729" t="s">
        <v>2198</v>
      </c>
      <c r="D180" s="12"/>
    </row>
    <row r="181" spans="2:4" ht="15.75">
      <c r="B181" s="471" t="s">
        <v>2199</v>
      </c>
      <c r="C181" s="1729" t="s">
        <v>2200</v>
      </c>
      <c r="D181" s="12"/>
    </row>
    <row r="182" spans="2:4" ht="15.75">
      <c r="B182" s="464" t="s">
        <v>2385</v>
      </c>
      <c r="C182" s="406" t="s">
        <v>2386</v>
      </c>
      <c r="D182" s="12"/>
    </row>
    <row r="183" spans="2:4" ht="15.75">
      <c r="B183" s="464" t="s">
        <v>2387</v>
      </c>
      <c r="C183" s="406" t="s">
        <v>2388</v>
      </c>
      <c r="D183" s="12"/>
    </row>
    <row r="184" spans="2:4" ht="15.75">
      <c r="B184" s="471" t="s">
        <v>2201</v>
      </c>
      <c r="C184" s="471" t="s">
        <v>2202</v>
      </c>
      <c r="D184" s="12"/>
    </row>
    <row r="185" spans="2:4" ht="15.75">
      <c r="B185" s="471" t="s">
        <v>2203</v>
      </c>
      <c r="C185" s="471" t="s">
        <v>4029</v>
      </c>
      <c r="D185" s="12"/>
    </row>
    <row r="186" spans="2:4" ht="15.75">
      <c r="B186" s="1267" t="s">
        <v>3988</v>
      </c>
      <c r="C186" s="1267" t="s">
        <v>3989</v>
      </c>
      <c r="D186" s="12"/>
    </row>
    <row r="187" spans="2:4" ht="15.75">
      <c r="B187" s="471" t="s">
        <v>2204</v>
      </c>
      <c r="C187" s="1713" t="s">
        <v>2205</v>
      </c>
      <c r="D187" s="12"/>
    </row>
    <row r="188" spans="2:4" ht="31.5">
      <c r="B188" s="471" t="s">
        <v>2206</v>
      </c>
      <c r="C188" s="472" t="s">
        <v>2207</v>
      </c>
      <c r="D188" s="12"/>
    </row>
    <row r="189" spans="2:4" ht="15.75">
      <c r="B189" s="1267" t="s">
        <v>3992</v>
      </c>
      <c r="C189" s="1732" t="s">
        <v>3993</v>
      </c>
      <c r="D189" s="12"/>
    </row>
    <row r="190" spans="2:4" ht="15.75">
      <c r="B190" s="464" t="s">
        <v>2208</v>
      </c>
      <c r="C190" s="465" t="s">
        <v>2209</v>
      </c>
      <c r="D190" s="12"/>
    </row>
    <row r="191" spans="2:4" ht="15.75">
      <c r="B191" s="471" t="s">
        <v>2210</v>
      </c>
      <c r="C191" s="473" t="s">
        <v>2211</v>
      </c>
      <c r="D191" s="12"/>
    </row>
    <row r="192" spans="2:4" ht="15.75">
      <c r="B192" s="471" t="s">
        <v>2212</v>
      </c>
      <c r="C192" s="1745" t="s">
        <v>2213</v>
      </c>
      <c r="D192" s="12"/>
    </row>
    <row r="193" spans="2:4" ht="15.75">
      <c r="B193" s="471" t="s">
        <v>2214</v>
      </c>
      <c r="C193" s="1714" t="s">
        <v>2215</v>
      </c>
      <c r="D193" s="12"/>
    </row>
    <row r="194" spans="2:4" ht="15.75">
      <c r="B194" s="471" t="s">
        <v>2216</v>
      </c>
      <c r="C194" s="1714" t="s">
        <v>2217</v>
      </c>
      <c r="D194" s="12"/>
    </row>
    <row r="195" spans="2:4" ht="15.75">
      <c r="B195" s="471" t="s">
        <v>2218</v>
      </c>
      <c r="C195" s="1714" t="s">
        <v>2219</v>
      </c>
      <c r="D195" s="12"/>
    </row>
    <row r="196" spans="2:4" ht="15.75">
      <c r="B196" s="471" t="s">
        <v>2220</v>
      </c>
      <c r="C196" s="1714" t="s">
        <v>2221</v>
      </c>
      <c r="D196" s="12"/>
    </row>
    <row r="197" spans="2:4" ht="15.75">
      <c r="B197" s="464" t="s">
        <v>1915</v>
      </c>
      <c r="C197" s="485" t="s">
        <v>1916</v>
      </c>
      <c r="D197" s="12"/>
    </row>
    <row r="198" spans="2:4" ht="15.75">
      <c r="B198" s="471" t="s">
        <v>2223</v>
      </c>
      <c r="C198" s="1714" t="s">
        <v>2224</v>
      </c>
      <c r="D198" s="12"/>
    </row>
    <row r="199" spans="2:4" ht="31.5">
      <c r="B199" s="464" t="s">
        <v>2225</v>
      </c>
      <c r="C199" s="485" t="s">
        <v>2226</v>
      </c>
      <c r="D199" s="12"/>
    </row>
    <row r="200" spans="2:4" ht="15.75">
      <c r="B200" s="464" t="s">
        <v>2227</v>
      </c>
      <c r="C200" s="484" t="s">
        <v>2228</v>
      </c>
      <c r="D200" s="12"/>
    </row>
    <row r="201" spans="2:4" ht="15.75">
      <c r="B201" s="464" t="s">
        <v>2229</v>
      </c>
      <c r="C201" s="484" t="s">
        <v>2230</v>
      </c>
      <c r="D201" s="12"/>
    </row>
    <row r="202" spans="2:4" ht="15.75">
      <c r="B202" s="464" t="s">
        <v>2231</v>
      </c>
      <c r="C202" s="484" t="s">
        <v>2232</v>
      </c>
      <c r="D202" s="12"/>
    </row>
    <row r="203" spans="2:4" ht="15.75">
      <c r="B203" s="464" t="s">
        <v>1917</v>
      </c>
      <c r="C203" s="485" t="s">
        <v>1918</v>
      </c>
      <c r="D203" s="12"/>
    </row>
    <row r="204" spans="2:4" ht="15.75">
      <c r="B204" s="464" t="s">
        <v>1919</v>
      </c>
      <c r="C204" s="485" t="s">
        <v>1920</v>
      </c>
      <c r="D204" s="12"/>
    </row>
    <row r="205" spans="2:4" ht="15.75">
      <c r="B205" s="411" t="s">
        <v>1921</v>
      </c>
      <c r="C205" s="1705" t="s">
        <v>1922</v>
      </c>
      <c r="D205" s="12"/>
    </row>
    <row r="206" spans="2:4" ht="15.75">
      <c r="B206" s="464" t="s">
        <v>1923</v>
      </c>
      <c r="C206" s="485" t="s">
        <v>1924</v>
      </c>
      <c r="D206" s="12"/>
    </row>
    <row r="207" spans="2:4" ht="15.75">
      <c r="B207" s="411" t="s">
        <v>1925</v>
      </c>
      <c r="C207" s="1705" t="s">
        <v>1926</v>
      </c>
      <c r="D207" s="12"/>
    </row>
    <row r="208" spans="2:4" ht="15.75">
      <c r="B208" s="1267" t="s">
        <v>3983</v>
      </c>
      <c r="C208" s="1700" t="s">
        <v>3984</v>
      </c>
      <c r="D208" s="12"/>
    </row>
    <row r="209" spans="2:4" ht="15.75">
      <c r="B209" s="411" t="s">
        <v>1927</v>
      </c>
      <c r="C209" s="1705" t="s">
        <v>1928</v>
      </c>
      <c r="D209" s="12"/>
    </row>
    <row r="210" spans="2:4" ht="15.75">
      <c r="B210" s="411" t="s">
        <v>1929</v>
      </c>
      <c r="C210" s="1705" t="s">
        <v>1930</v>
      </c>
      <c r="D210" s="12"/>
    </row>
    <row r="211" spans="2:4" ht="15.75">
      <c r="B211" s="411" t="s">
        <v>2115</v>
      </c>
      <c r="C211" s="1705" t="s">
        <v>2116</v>
      </c>
      <c r="D211" s="12"/>
    </row>
    <row r="212" spans="2:4" ht="15.75">
      <c r="B212" s="411" t="s">
        <v>2027</v>
      </c>
      <c r="C212" s="1705" t="s">
        <v>2028</v>
      </c>
      <c r="D212" s="12"/>
    </row>
    <row r="213" spans="2:4" ht="15.75">
      <c r="B213" s="464" t="s">
        <v>2233</v>
      </c>
      <c r="C213" s="1736" t="s">
        <v>2234</v>
      </c>
      <c r="D213" s="12"/>
    </row>
    <row r="214" spans="2:4" ht="31.5">
      <c r="B214" s="464" t="s">
        <v>2300</v>
      </c>
      <c r="C214" s="487" t="s">
        <v>2301</v>
      </c>
      <c r="D214" s="12"/>
    </row>
    <row r="215" spans="2:4" ht="15.75">
      <c r="B215" s="1803" t="s">
        <v>3123</v>
      </c>
      <c r="C215" s="629" t="s">
        <v>3124</v>
      </c>
      <c r="D215" s="12"/>
    </row>
    <row r="216" spans="2:4" ht="15.75">
      <c r="B216" s="464" t="s">
        <v>2302</v>
      </c>
      <c r="C216" s="407" t="s">
        <v>2303</v>
      </c>
      <c r="D216" s="12"/>
    </row>
    <row r="217" spans="2:4" ht="31.5">
      <c r="B217" s="464" t="s">
        <v>2304</v>
      </c>
      <c r="C217" s="407" t="s">
        <v>2305</v>
      </c>
      <c r="D217" s="12"/>
    </row>
    <row r="218" spans="2:4" ht="15.75">
      <c r="B218" s="464" t="s">
        <v>2306</v>
      </c>
      <c r="C218" s="465" t="s">
        <v>2307</v>
      </c>
      <c r="D218" s="12"/>
    </row>
    <row r="219" spans="2:4" ht="15.75">
      <c r="B219" s="464" t="s">
        <v>2308</v>
      </c>
      <c r="C219" s="407" t="s">
        <v>2309</v>
      </c>
      <c r="D219" s="12"/>
    </row>
    <row r="220" spans="2:4" ht="15.75">
      <c r="B220" s="464" t="s">
        <v>2310</v>
      </c>
      <c r="C220" s="407" t="s">
        <v>2311</v>
      </c>
      <c r="D220" s="12"/>
    </row>
    <row r="221" spans="2:4" ht="31.5">
      <c r="B221" s="464" t="s">
        <v>2312</v>
      </c>
      <c r="C221" s="465" t="s">
        <v>2313</v>
      </c>
      <c r="D221" s="12"/>
    </row>
    <row r="222" spans="2:4" ht="15.75">
      <c r="B222" s="471" t="s">
        <v>2235</v>
      </c>
      <c r="C222" s="472" t="s">
        <v>2236</v>
      </c>
      <c r="D222" s="12"/>
    </row>
    <row r="223" spans="2:4" ht="15.75">
      <c r="B223" s="471" t="s">
        <v>150</v>
      </c>
      <c r="C223" s="473" t="s">
        <v>161</v>
      </c>
      <c r="D223" s="12"/>
    </row>
    <row r="224" spans="2:4" ht="15.75">
      <c r="B224" s="471" t="s">
        <v>2237</v>
      </c>
      <c r="C224" s="471" t="s">
        <v>2238</v>
      </c>
      <c r="D224" s="12"/>
    </row>
    <row r="225" spans="2:4" ht="15.75">
      <c r="B225" s="471" t="s">
        <v>2239</v>
      </c>
      <c r="C225" s="472" t="s">
        <v>2240</v>
      </c>
      <c r="D225" s="12"/>
    </row>
    <row r="226" spans="2:4" ht="15.75">
      <c r="B226" s="471" t="s">
        <v>2241</v>
      </c>
      <c r="C226" s="1724" t="s">
        <v>2242</v>
      </c>
      <c r="D226" s="12"/>
    </row>
    <row r="227" spans="2:4" ht="15.75">
      <c r="B227" s="471" t="s">
        <v>2243</v>
      </c>
      <c r="C227" s="1724" t="s">
        <v>2244</v>
      </c>
      <c r="D227" s="12"/>
    </row>
    <row r="228" spans="2:4" ht="15.75">
      <c r="B228" s="1333" t="s">
        <v>4098</v>
      </c>
      <c r="C228" s="1723" t="s">
        <v>4099</v>
      </c>
      <c r="D228" s="12"/>
    </row>
    <row r="229" spans="2:4" ht="15.75">
      <c r="B229" s="471" t="s">
        <v>2245</v>
      </c>
      <c r="C229" s="1724" t="s">
        <v>2246</v>
      </c>
      <c r="D229" s="12"/>
    </row>
    <row r="230" spans="2:4" ht="15.75">
      <c r="B230" s="1333" t="s">
        <v>4102</v>
      </c>
      <c r="C230" s="1723" t="s">
        <v>4103</v>
      </c>
      <c r="D230" s="12"/>
    </row>
    <row r="231" spans="2:4" ht="31.5">
      <c r="B231" s="464" t="s">
        <v>2247</v>
      </c>
      <c r="C231" s="1703" t="s">
        <v>2248</v>
      </c>
      <c r="D231" s="12"/>
    </row>
    <row r="232" spans="2:4" ht="31.5">
      <c r="B232" s="464" t="s">
        <v>2249</v>
      </c>
      <c r="C232" s="1703" t="s">
        <v>2250</v>
      </c>
      <c r="D232" s="12"/>
    </row>
    <row r="233" spans="2:4" ht="15.75">
      <c r="B233" s="464" t="s">
        <v>2251</v>
      </c>
      <c r="C233" s="1088" t="s">
        <v>2252</v>
      </c>
      <c r="D233" s="12"/>
    </row>
    <row r="234" spans="2:4" ht="15.75">
      <c r="B234" s="464" t="s">
        <v>2389</v>
      </c>
      <c r="C234" s="1088" t="s">
        <v>2390</v>
      </c>
      <c r="D234" s="12"/>
    </row>
    <row r="235" spans="2:4" ht="15.75">
      <c r="B235" s="464" t="s">
        <v>2391</v>
      </c>
      <c r="C235" s="1088" t="s">
        <v>2392</v>
      </c>
      <c r="D235" s="12"/>
    </row>
    <row r="236" spans="2:4" ht="15.75">
      <c r="B236" s="464" t="s">
        <v>2253</v>
      </c>
      <c r="C236" s="1703" t="s">
        <v>2254</v>
      </c>
      <c r="D236" s="12"/>
    </row>
    <row r="237" spans="2:4" ht="15.75">
      <c r="B237" s="1267" t="s">
        <v>3994</v>
      </c>
      <c r="C237" s="1751" t="s">
        <v>3995</v>
      </c>
      <c r="D237" s="12"/>
    </row>
    <row r="238" spans="2:4" ht="15.75">
      <c r="B238" s="1333" t="s">
        <v>4104</v>
      </c>
      <c r="C238" s="1718" t="s">
        <v>4105</v>
      </c>
      <c r="D238" s="12"/>
    </row>
    <row r="239" spans="2:4" ht="15.75">
      <c r="B239" s="464" t="s">
        <v>2255</v>
      </c>
      <c r="C239" s="1088" t="s">
        <v>2256</v>
      </c>
      <c r="D239" s="12"/>
    </row>
    <row r="240" spans="2:4" ht="15.75">
      <c r="B240" s="464" t="s">
        <v>2257</v>
      </c>
      <c r="C240" s="1703" t="s">
        <v>2258</v>
      </c>
      <c r="D240" s="12"/>
    </row>
    <row r="241" spans="2:4" ht="15.75">
      <c r="B241" s="411" t="s">
        <v>2117</v>
      </c>
      <c r="C241" s="430" t="s">
        <v>2118</v>
      </c>
      <c r="D241" s="12"/>
    </row>
    <row r="242" spans="2:4" ht="15.75">
      <c r="B242" s="464" t="s">
        <v>2259</v>
      </c>
      <c r="C242" s="1703" t="s">
        <v>2260</v>
      </c>
      <c r="D242" s="12"/>
    </row>
    <row r="243" spans="2:4" ht="31.5">
      <c r="B243" s="1804" t="s">
        <v>3125</v>
      </c>
      <c r="C243" s="634" t="s">
        <v>3126</v>
      </c>
      <c r="D243" s="12"/>
    </row>
    <row r="244" spans="2:4" ht="15.75">
      <c r="B244" s="464" t="s">
        <v>2261</v>
      </c>
      <c r="C244" s="1703" t="s">
        <v>2152</v>
      </c>
      <c r="D244" s="12"/>
    </row>
    <row r="245" spans="2:4" ht="15.75">
      <c r="B245" s="464" t="s">
        <v>2717</v>
      </c>
      <c r="C245" s="1088" t="s">
        <v>2718</v>
      </c>
      <c r="D245" s="12"/>
    </row>
    <row r="246" spans="2:4" ht="15.75">
      <c r="B246" s="464" t="s">
        <v>2719</v>
      </c>
      <c r="C246" s="1088" t="s">
        <v>2720</v>
      </c>
      <c r="D246" s="12"/>
    </row>
    <row r="247" spans="2:4" ht="15.75">
      <c r="B247" s="464" t="s">
        <v>2721</v>
      </c>
      <c r="C247" s="431" t="s">
        <v>2722</v>
      </c>
      <c r="D247" s="12"/>
    </row>
    <row r="248" spans="2:4" ht="15.75">
      <c r="B248" s="464" t="s">
        <v>2723</v>
      </c>
      <c r="C248" s="416" t="s">
        <v>2724</v>
      </c>
      <c r="D248" s="12"/>
    </row>
    <row r="249" spans="2:4" ht="15.75">
      <c r="B249" s="411" t="s">
        <v>2029</v>
      </c>
      <c r="C249" s="430" t="s">
        <v>2030</v>
      </c>
      <c r="D249" s="12"/>
    </row>
    <row r="250" spans="2:4" ht="15.75">
      <c r="B250" s="411" t="s">
        <v>2031</v>
      </c>
      <c r="C250" s="1737" t="s">
        <v>2032</v>
      </c>
      <c r="D250" s="12"/>
    </row>
    <row r="251" spans="2:4" ht="15.75">
      <c r="B251" s="464" t="s">
        <v>2725</v>
      </c>
      <c r="C251" s="416" t="s">
        <v>2726</v>
      </c>
      <c r="D251" s="12"/>
    </row>
    <row r="252" spans="2:4" ht="15.75">
      <c r="B252" s="464" t="s">
        <v>1931</v>
      </c>
      <c r="C252" s="416" t="s">
        <v>1932</v>
      </c>
      <c r="D252" s="12"/>
    </row>
    <row r="253" spans="2:4" ht="15.75">
      <c r="B253" s="464" t="s">
        <v>1933</v>
      </c>
      <c r="C253" s="416" t="s">
        <v>2679</v>
      </c>
      <c r="D253" s="12"/>
    </row>
    <row r="254" spans="2:4" ht="15.75">
      <c r="B254" s="464" t="s">
        <v>1935</v>
      </c>
      <c r="C254" s="617" t="s">
        <v>1936</v>
      </c>
      <c r="D254" s="12"/>
    </row>
    <row r="255" spans="2:4" ht="15.75">
      <c r="B255" s="1267" t="s">
        <v>4067</v>
      </c>
      <c r="C255" s="1735" t="s">
        <v>4068</v>
      </c>
      <c r="D255" s="12"/>
    </row>
    <row r="256" spans="2:4" ht="15.75">
      <c r="B256" s="1267" t="s">
        <v>3978</v>
      </c>
      <c r="C256" s="1735" t="s">
        <v>3979</v>
      </c>
      <c r="D256" s="12"/>
    </row>
    <row r="257" spans="2:4" ht="15.75">
      <c r="B257" s="1267" t="s">
        <v>1937</v>
      </c>
      <c r="C257" s="1260" t="s">
        <v>1938</v>
      </c>
      <c r="D257" s="12"/>
    </row>
    <row r="258" spans="2:4" ht="15.75">
      <c r="B258" s="464" t="s">
        <v>2727</v>
      </c>
      <c r="C258" s="406" t="s">
        <v>2728</v>
      </c>
      <c r="D258" s="12"/>
    </row>
    <row r="259" spans="2:4" ht="15.75">
      <c r="B259" s="464" t="s">
        <v>151</v>
      </c>
      <c r="C259" s="406" t="s">
        <v>2729</v>
      </c>
      <c r="D259" s="12"/>
    </row>
    <row r="260" spans="2:4" ht="15.75">
      <c r="B260" s="464" t="s">
        <v>2730</v>
      </c>
      <c r="C260" s="406" t="s">
        <v>2731</v>
      </c>
      <c r="D260" s="12"/>
    </row>
    <row r="261" spans="2:4" ht="15.75">
      <c r="B261" s="464" t="s">
        <v>2825</v>
      </c>
      <c r="C261" s="406" t="s">
        <v>2826</v>
      </c>
      <c r="D261" s="12"/>
    </row>
    <row r="262" spans="2:4" ht="15.75">
      <c r="B262" s="1796" t="s">
        <v>3959</v>
      </c>
      <c r="C262" s="1762" t="s">
        <v>3958</v>
      </c>
      <c r="D262" s="12"/>
    </row>
    <row r="263" spans="2:4" ht="15.75">
      <c r="B263" s="1805" t="s">
        <v>2680</v>
      </c>
      <c r="C263" s="406" t="s">
        <v>2681</v>
      </c>
      <c r="D263" s="12"/>
    </row>
    <row r="264" spans="2:4" ht="15.75">
      <c r="B264" s="464" t="s">
        <v>2732</v>
      </c>
      <c r="C264" s="448" t="s">
        <v>2733</v>
      </c>
      <c r="D264" s="12"/>
    </row>
    <row r="265" spans="2:4" ht="15.75">
      <c r="B265" s="464" t="s">
        <v>2734</v>
      </c>
      <c r="C265" s="416" t="s">
        <v>2735</v>
      </c>
      <c r="D265" s="12"/>
    </row>
    <row r="266" spans="2:4" ht="15.75">
      <c r="B266" s="464" t="s">
        <v>2736</v>
      </c>
      <c r="C266" s="416" t="s">
        <v>2737</v>
      </c>
      <c r="D266" s="12"/>
    </row>
    <row r="267" spans="2:4" ht="15.75">
      <c r="B267" s="1806" t="s">
        <v>4083</v>
      </c>
      <c r="C267" s="1763" t="s">
        <v>4084</v>
      </c>
      <c r="D267" s="12"/>
    </row>
    <row r="268" spans="2:4" ht="15.75">
      <c r="B268" s="1796" t="s">
        <v>3957</v>
      </c>
      <c r="C268" s="1764" t="s">
        <v>4066</v>
      </c>
      <c r="D268" s="12"/>
    </row>
    <row r="269" spans="2:4" ht="15.75">
      <c r="B269" s="464" t="s">
        <v>2682</v>
      </c>
      <c r="C269" s="432" t="s">
        <v>2683</v>
      </c>
      <c r="D269" s="12"/>
    </row>
    <row r="270" spans="2:4" ht="15.75">
      <c r="B270" s="464" t="s">
        <v>2684</v>
      </c>
      <c r="C270" s="432" t="s">
        <v>2685</v>
      </c>
      <c r="D270" s="12"/>
    </row>
    <row r="271" spans="2:4" ht="15.75">
      <c r="B271" s="464" t="s">
        <v>2686</v>
      </c>
      <c r="C271" s="432" t="s">
        <v>2687</v>
      </c>
      <c r="D271" s="12"/>
    </row>
    <row r="272" spans="2:4" ht="15.75">
      <c r="B272" s="464" t="s">
        <v>2688</v>
      </c>
      <c r="C272" s="432" t="s">
        <v>2689</v>
      </c>
      <c r="D272" s="12"/>
    </row>
    <row r="273" spans="2:4" ht="15.75">
      <c r="B273" s="464" t="s">
        <v>2690</v>
      </c>
      <c r="C273" s="432" t="s">
        <v>2691</v>
      </c>
      <c r="D273" s="12"/>
    </row>
    <row r="274" spans="2:4" ht="15.75">
      <c r="B274" s="464" t="s">
        <v>2692</v>
      </c>
      <c r="C274" s="407" t="s">
        <v>2693</v>
      </c>
      <c r="D274" s="12"/>
    </row>
    <row r="275" spans="2:4" ht="31.5">
      <c r="B275" s="1267" t="s">
        <v>3980</v>
      </c>
      <c r="C275" s="1264" t="s">
        <v>3981</v>
      </c>
      <c r="D275" s="12"/>
    </row>
    <row r="276" spans="2:4" ht="15.75">
      <c r="B276" s="1267" t="s">
        <v>2694</v>
      </c>
      <c r="C276" s="1264" t="s">
        <v>3997</v>
      </c>
      <c r="D276" s="12"/>
    </row>
    <row r="277" spans="2:4" ht="15.75">
      <c r="B277" s="464" t="s">
        <v>2696</v>
      </c>
      <c r="C277" s="406" t="s">
        <v>2697</v>
      </c>
      <c r="D277" s="12"/>
    </row>
    <row r="278" spans="2:4" ht="15.75">
      <c r="B278" s="464" t="s">
        <v>2698</v>
      </c>
      <c r="C278" s="1088" t="s">
        <v>2699</v>
      </c>
      <c r="D278" s="12"/>
    </row>
    <row r="279" spans="2:4" ht="15.75">
      <c r="B279" s="464" t="s">
        <v>2700</v>
      </c>
      <c r="C279" s="1088" t="s">
        <v>2701</v>
      </c>
      <c r="D279" s="12"/>
    </row>
    <row r="280" spans="2:4" ht="15.75">
      <c r="B280" s="464" t="s">
        <v>2702</v>
      </c>
      <c r="C280" s="1088" t="s">
        <v>2703</v>
      </c>
      <c r="D280" s="12"/>
    </row>
    <row r="281" spans="2:4" ht="15.75">
      <c r="B281" s="464" t="s">
        <v>2704</v>
      </c>
      <c r="C281" s="1088" t="s">
        <v>2705</v>
      </c>
      <c r="D281" s="12"/>
    </row>
    <row r="282" spans="2:4" ht="31.5">
      <c r="B282" s="464" t="s">
        <v>2706</v>
      </c>
      <c r="C282" s="1088" t="s">
        <v>2707</v>
      </c>
      <c r="D282" s="12"/>
    </row>
    <row r="283" spans="2:4" ht="15.75">
      <c r="B283" s="1267" t="s">
        <v>1939</v>
      </c>
      <c r="C283" s="1738" t="s">
        <v>3982</v>
      </c>
      <c r="D283" s="12"/>
    </row>
    <row r="284" spans="2:4" ht="31.5">
      <c r="B284" s="464" t="s">
        <v>1940</v>
      </c>
      <c r="C284" s="1088" t="s">
        <v>1941</v>
      </c>
      <c r="D284" s="12"/>
    </row>
    <row r="285" spans="2:4" ht="15.75">
      <c r="B285" s="464" t="s">
        <v>1942</v>
      </c>
      <c r="C285" s="1088" t="s">
        <v>1943</v>
      </c>
      <c r="D285" s="12"/>
    </row>
    <row r="286" spans="2:4" ht="15.75">
      <c r="B286" s="464" t="s">
        <v>1944</v>
      </c>
      <c r="C286" s="1088" t="s">
        <v>1945</v>
      </c>
      <c r="D286" s="12"/>
    </row>
    <row r="287" spans="2:4" ht="15.75">
      <c r="B287" s="464" t="s">
        <v>1946</v>
      </c>
      <c r="C287" s="1088" t="s">
        <v>1947</v>
      </c>
      <c r="D287" s="12"/>
    </row>
    <row r="288" spans="2:4" ht="31.5">
      <c r="B288" s="464" t="s">
        <v>1948</v>
      </c>
      <c r="C288" s="1088" t="s">
        <v>1949</v>
      </c>
      <c r="D288" s="12"/>
    </row>
    <row r="289" spans="2:4" ht="31.5">
      <c r="B289" s="464" t="s">
        <v>1950</v>
      </c>
      <c r="C289" s="1088" t="s">
        <v>1951</v>
      </c>
      <c r="D289" s="12"/>
    </row>
    <row r="290" spans="2:4" ht="31.5">
      <c r="B290" s="464" t="s">
        <v>1952</v>
      </c>
      <c r="C290" s="1088" t="s">
        <v>1953</v>
      </c>
      <c r="D290" s="12"/>
    </row>
    <row r="291" spans="2:4" ht="15.75">
      <c r="B291" s="1333" t="s">
        <v>4085</v>
      </c>
      <c r="C291" s="1727" t="s">
        <v>4091</v>
      </c>
      <c r="D291" s="12"/>
    </row>
    <row r="292" spans="2:4" ht="15.75">
      <c r="B292" s="464" t="s">
        <v>2056</v>
      </c>
      <c r="C292" s="1088" t="s">
        <v>2057</v>
      </c>
      <c r="D292" s="12"/>
    </row>
    <row r="293" spans="2:4" ht="15.75">
      <c r="B293" s="464" t="s">
        <v>2058</v>
      </c>
      <c r="C293" s="1088" t="s">
        <v>2059</v>
      </c>
      <c r="D293" s="12"/>
    </row>
    <row r="294" spans="2:4" ht="31.5">
      <c r="B294" s="464" t="s">
        <v>2060</v>
      </c>
      <c r="C294" s="1088" t="s">
        <v>2061</v>
      </c>
      <c r="D294" s="12"/>
    </row>
    <row r="295" spans="2:4" ht="15.75">
      <c r="B295" s="464" t="s">
        <v>2033</v>
      </c>
      <c r="C295" s="1088" t="s">
        <v>2034</v>
      </c>
      <c r="D295" s="12"/>
    </row>
    <row r="296" spans="2:4" ht="15.75">
      <c r="B296" s="1333" t="s">
        <v>4089</v>
      </c>
      <c r="C296" s="1727" t="s">
        <v>4094</v>
      </c>
      <c r="D296" s="12"/>
    </row>
    <row r="297" spans="2:4" ht="15.75">
      <c r="B297" s="1333" t="s">
        <v>4088</v>
      </c>
      <c r="C297" s="1727" t="s">
        <v>4094</v>
      </c>
      <c r="D297" s="12"/>
    </row>
    <row r="298" spans="2:4" ht="15.75">
      <c r="B298" s="1333" t="s">
        <v>4087</v>
      </c>
      <c r="C298" s="1727" t="s">
        <v>4093</v>
      </c>
      <c r="D298" s="12"/>
    </row>
    <row r="299" spans="2:4" ht="15.75">
      <c r="B299" s="464" t="s">
        <v>1954</v>
      </c>
      <c r="C299" s="1088" t="s">
        <v>1955</v>
      </c>
      <c r="D299" s="12"/>
    </row>
    <row r="300" spans="2:4" ht="15.75">
      <c r="B300" s="464" t="s">
        <v>1956</v>
      </c>
      <c r="C300" s="1088" t="s">
        <v>1957</v>
      </c>
      <c r="D300" s="12"/>
    </row>
    <row r="301" spans="2:4" ht="31.5">
      <c r="B301" s="464" t="s">
        <v>1958</v>
      </c>
      <c r="C301" s="1088" t="s">
        <v>1959</v>
      </c>
      <c r="D301" s="12"/>
    </row>
    <row r="302" spans="2:4" ht="31.5">
      <c r="B302" s="464" t="s">
        <v>1960</v>
      </c>
      <c r="C302" s="1088" t="s">
        <v>1961</v>
      </c>
      <c r="D302" s="12"/>
    </row>
    <row r="303" spans="2:4" ht="15.75">
      <c r="B303" s="464" t="s">
        <v>1962</v>
      </c>
      <c r="C303" s="1088" t="s">
        <v>1963</v>
      </c>
      <c r="D303" s="12"/>
    </row>
    <row r="304" spans="2:4" ht="15.75">
      <c r="B304" s="464" t="s">
        <v>1964</v>
      </c>
      <c r="C304" s="1088" t="s">
        <v>1965</v>
      </c>
      <c r="D304" s="12"/>
    </row>
    <row r="305" spans="2:4" ht="31.5">
      <c r="B305" s="464" t="s">
        <v>1966</v>
      </c>
      <c r="C305" s="1088" t="s">
        <v>1967</v>
      </c>
      <c r="D305" s="12"/>
    </row>
    <row r="306" spans="2:4" ht="15.75">
      <c r="B306" s="471" t="s">
        <v>1968</v>
      </c>
      <c r="C306" s="502" t="s">
        <v>1969</v>
      </c>
      <c r="D306" s="12"/>
    </row>
    <row r="307" spans="2:4" ht="15.75">
      <c r="B307" s="1333" t="s">
        <v>4090</v>
      </c>
      <c r="C307" s="1727" t="s">
        <v>4095</v>
      </c>
      <c r="D307" s="12"/>
    </row>
    <row r="308" spans="2:4" ht="31.5">
      <c r="B308" s="464" t="s">
        <v>1970</v>
      </c>
      <c r="C308" s="1088" t="s">
        <v>1971</v>
      </c>
      <c r="D308" s="12"/>
    </row>
    <row r="309" spans="2:4" ht="15.75">
      <c r="B309" s="464" t="s">
        <v>1972</v>
      </c>
      <c r="C309" s="1088" t="s">
        <v>1973</v>
      </c>
      <c r="D309" s="12"/>
    </row>
    <row r="310" spans="2:4" ht="15.75">
      <c r="B310" s="1333" t="s">
        <v>4086</v>
      </c>
      <c r="C310" s="1727" t="s">
        <v>4092</v>
      </c>
      <c r="D310" s="12"/>
    </row>
    <row r="311" spans="2:4" ht="15.75">
      <c r="B311" s="464" t="s">
        <v>2035</v>
      </c>
      <c r="C311" s="1088" t="s">
        <v>2036</v>
      </c>
      <c r="D311" s="12"/>
    </row>
    <row r="312" spans="2:4" ht="15.75">
      <c r="B312" s="464" t="s">
        <v>1974</v>
      </c>
      <c r="C312" s="1088" t="s">
        <v>1975</v>
      </c>
      <c r="D312" s="12"/>
    </row>
    <row r="313" spans="2:4" ht="15.75">
      <c r="B313" s="464" t="s">
        <v>1976</v>
      </c>
      <c r="C313" s="1088" t="s">
        <v>1977</v>
      </c>
      <c r="D313" s="12"/>
    </row>
    <row r="314" spans="2:4" ht="15.75">
      <c r="B314" s="464" t="s">
        <v>1978</v>
      </c>
      <c r="C314" s="1088" t="s">
        <v>1979</v>
      </c>
      <c r="D314" s="12"/>
    </row>
    <row r="315" spans="2:4" ht="15.75">
      <c r="B315" s="464" t="s">
        <v>1980</v>
      </c>
      <c r="C315" s="1088" t="s">
        <v>1981</v>
      </c>
      <c r="D315" s="12"/>
    </row>
    <row r="316" spans="2:4" ht="31.5">
      <c r="B316" s="464" t="s">
        <v>1982</v>
      </c>
      <c r="C316" s="1088" t="s">
        <v>1983</v>
      </c>
      <c r="D316" s="12"/>
    </row>
    <row r="317" spans="2:4" ht="31.5">
      <c r="B317" s="464" t="s">
        <v>1984</v>
      </c>
      <c r="C317" s="1088" t="s">
        <v>1985</v>
      </c>
      <c r="D317" s="12"/>
    </row>
    <row r="318" spans="2:4" ht="15.75">
      <c r="B318" s="464" t="s">
        <v>1986</v>
      </c>
      <c r="C318" s="1088" t="s">
        <v>1987</v>
      </c>
      <c r="D318" s="12"/>
    </row>
    <row r="319" spans="2:4" ht="15.75">
      <c r="B319" s="464" t="s">
        <v>1988</v>
      </c>
      <c r="C319" s="1088" t="s">
        <v>1989</v>
      </c>
      <c r="D319" s="12"/>
    </row>
    <row r="320" spans="2:4" ht="15.75">
      <c r="B320" s="464" t="s">
        <v>1990</v>
      </c>
      <c r="C320" s="1088" t="s">
        <v>1991</v>
      </c>
      <c r="D320" s="12"/>
    </row>
    <row r="321" spans="2:4" ht="15.75">
      <c r="B321" s="464" t="s">
        <v>1992</v>
      </c>
      <c r="C321" s="431" t="s">
        <v>1993</v>
      </c>
      <c r="D321" s="12"/>
    </row>
    <row r="322" spans="2:4" ht="15.75">
      <c r="B322" s="464" t="s">
        <v>1994</v>
      </c>
      <c r="C322" s="1088" t="s">
        <v>1995</v>
      </c>
      <c r="D322" s="12"/>
    </row>
    <row r="323" spans="2:4" ht="31.5">
      <c r="B323" s="464" t="s">
        <v>1996</v>
      </c>
      <c r="C323" s="431" t="s">
        <v>1997</v>
      </c>
      <c r="D323" s="12"/>
    </row>
    <row r="324" spans="2:4" ht="15.75">
      <c r="B324" s="464" t="s">
        <v>2038</v>
      </c>
      <c r="C324" s="416" t="s">
        <v>2039</v>
      </c>
      <c r="D324" s="12"/>
    </row>
    <row r="325" spans="2:4" ht="15.75">
      <c r="B325" s="464" t="s">
        <v>1998</v>
      </c>
      <c r="C325" s="416" t="s">
        <v>1999</v>
      </c>
      <c r="D325" s="12"/>
    </row>
    <row r="326" spans="2:4" ht="15.75">
      <c r="B326" s="464" t="s">
        <v>2000</v>
      </c>
      <c r="C326" s="432" t="s">
        <v>2001</v>
      </c>
      <c r="D326" s="12"/>
    </row>
    <row r="327" spans="2:4" ht="15.75">
      <c r="B327" s="464" t="s">
        <v>2002</v>
      </c>
      <c r="C327" s="407" t="s">
        <v>2003</v>
      </c>
      <c r="D327" s="12"/>
    </row>
    <row r="328" spans="2:4" ht="31.5">
      <c r="B328" s="464" t="s">
        <v>2004</v>
      </c>
      <c r="C328" s="407" t="s">
        <v>2005</v>
      </c>
      <c r="D328" s="12"/>
    </row>
    <row r="329" spans="2:4" ht="31.5">
      <c r="B329" s="464" t="s">
        <v>2006</v>
      </c>
      <c r="C329" s="407" t="s">
        <v>2007</v>
      </c>
      <c r="D329" s="12"/>
    </row>
    <row r="330" spans="2:4" ht="31.5">
      <c r="B330" s="464" t="s">
        <v>2008</v>
      </c>
      <c r="C330" s="407" t="s">
        <v>2009</v>
      </c>
      <c r="D330" s="12"/>
    </row>
    <row r="331" spans="2:4" ht="15.75">
      <c r="B331" s="464" t="s">
        <v>2010</v>
      </c>
      <c r="C331" s="406" t="s">
        <v>2011</v>
      </c>
      <c r="D331" s="12"/>
    </row>
    <row r="332" spans="2:4" ht="15.75">
      <c r="B332" s="464" t="s">
        <v>2262</v>
      </c>
      <c r="C332" s="1703" t="s">
        <v>2263</v>
      </c>
      <c r="D332" s="12"/>
    </row>
    <row r="333" spans="2:4" ht="15.75">
      <c r="B333" s="464" t="s">
        <v>3073</v>
      </c>
      <c r="C333" s="1717" t="s">
        <v>3074</v>
      </c>
      <c r="D333" s="12"/>
    </row>
    <row r="334" spans="2:4" ht="15.75">
      <c r="B334" s="464" t="s">
        <v>3075</v>
      </c>
      <c r="C334" s="1717" t="s">
        <v>3076</v>
      </c>
      <c r="D334" s="12"/>
    </row>
    <row r="335" spans="2:4" ht="15.75">
      <c r="B335" s="464" t="s">
        <v>3077</v>
      </c>
      <c r="C335" s="1717" t="s">
        <v>3078</v>
      </c>
      <c r="D335" s="12"/>
    </row>
    <row r="336" spans="2:4" ht="15.75">
      <c r="B336" s="464" t="s">
        <v>3079</v>
      </c>
      <c r="C336" s="1717" t="s">
        <v>3080</v>
      </c>
      <c r="D336" s="12"/>
    </row>
    <row r="337" spans="2:4" ht="15.75">
      <c r="B337" s="464" t="s">
        <v>3081</v>
      </c>
      <c r="C337" s="1088" t="s">
        <v>3082</v>
      </c>
      <c r="D337" s="12"/>
    </row>
    <row r="338" spans="2:4" ht="15.75">
      <c r="B338" s="464" t="s">
        <v>2314</v>
      </c>
      <c r="C338" s="1088" t="s">
        <v>2315</v>
      </c>
      <c r="D338" s="12"/>
    </row>
    <row r="339" spans="2:4" ht="15.75">
      <c r="B339" s="1818" t="s">
        <v>3099</v>
      </c>
      <c r="C339" s="601" t="s">
        <v>3100</v>
      </c>
      <c r="D339" s="12"/>
    </row>
    <row r="340" spans="2:4" ht="15.75">
      <c r="B340" s="1795" t="s">
        <v>3005</v>
      </c>
      <c r="C340" s="1733" t="s">
        <v>3006</v>
      </c>
      <c r="D340" s="12"/>
    </row>
    <row r="341" spans="2:4" ht="15.75">
      <c r="B341" s="464" t="s">
        <v>2264</v>
      </c>
      <c r="C341" s="1703" t="s">
        <v>2265</v>
      </c>
      <c r="D341" s="12"/>
    </row>
    <row r="342" spans="2:4" ht="15.75">
      <c r="B342" s="464" t="s">
        <v>2407</v>
      </c>
      <c r="C342" s="1088" t="s">
        <v>2408</v>
      </c>
      <c r="D342" s="12"/>
    </row>
    <row r="343" spans="2:4" ht="15.75">
      <c r="B343" s="464" t="s">
        <v>2409</v>
      </c>
      <c r="C343" s="1088" t="s">
        <v>2410</v>
      </c>
      <c r="D343" s="12"/>
    </row>
    <row r="344" spans="2:4" ht="15.75">
      <c r="B344" s="464" t="s">
        <v>2266</v>
      </c>
      <c r="C344" s="1088" t="s">
        <v>2267</v>
      </c>
      <c r="D344" s="12"/>
    </row>
    <row r="345" spans="2:4" ht="15.75">
      <c r="B345" s="464" t="s">
        <v>2268</v>
      </c>
      <c r="C345" s="1703" t="s">
        <v>2269</v>
      </c>
      <c r="D345" s="12"/>
    </row>
    <row r="346" spans="2:4" ht="15.75">
      <c r="B346" s="464" t="s">
        <v>2270</v>
      </c>
      <c r="C346" s="1703" t="s">
        <v>2271</v>
      </c>
      <c r="D346" s="12"/>
    </row>
    <row r="347" spans="2:4" ht="31.5">
      <c r="B347" s="464" t="s">
        <v>2272</v>
      </c>
      <c r="C347" s="1703" t="s">
        <v>2273</v>
      </c>
      <c r="D347" s="12"/>
    </row>
    <row r="348" spans="2:4" ht="15.75">
      <c r="B348" s="411" t="s">
        <v>2520</v>
      </c>
      <c r="C348" s="501" t="s">
        <v>2521</v>
      </c>
      <c r="D348" s="12"/>
    </row>
    <row r="349" spans="2:4" ht="15.75">
      <c r="B349" s="411" t="s">
        <v>2522</v>
      </c>
      <c r="C349" s="501" t="s">
        <v>2523</v>
      </c>
      <c r="D349" s="12"/>
    </row>
    <row r="350" spans="2:4" ht="15.75">
      <c r="B350" s="464" t="s">
        <v>2316</v>
      </c>
      <c r="C350" s="1088" t="s">
        <v>2317</v>
      </c>
      <c r="D350" s="12"/>
    </row>
    <row r="351" spans="2:4" ht="15.75">
      <c r="B351" s="411" t="s">
        <v>2412</v>
      </c>
      <c r="C351" s="501" t="s">
        <v>2413</v>
      </c>
      <c r="D351" s="12"/>
    </row>
    <row r="352" spans="2:4" ht="15.75">
      <c r="B352" s="464" t="s">
        <v>2318</v>
      </c>
      <c r="C352" s="1088" t="s">
        <v>2319</v>
      </c>
      <c r="D352" s="12"/>
    </row>
    <row r="353" spans="2:4" ht="15.75">
      <c r="B353" s="411" t="s">
        <v>2524</v>
      </c>
      <c r="C353" s="501" t="s">
        <v>2525</v>
      </c>
      <c r="D353" s="12"/>
    </row>
    <row r="354" spans="2:4" ht="15.75">
      <c r="B354" s="464" t="s">
        <v>2320</v>
      </c>
      <c r="C354" s="1088" t="s">
        <v>2321</v>
      </c>
      <c r="D354" s="12"/>
    </row>
    <row r="355" spans="2:4" ht="31.5">
      <c r="B355" s="411" t="s">
        <v>2527</v>
      </c>
      <c r="C355" s="501" t="s">
        <v>2528</v>
      </c>
      <c r="D355" s="12"/>
    </row>
    <row r="356" spans="2:4" ht="31.5">
      <c r="B356" s="411" t="s">
        <v>2529</v>
      </c>
      <c r="C356" s="501" t="s">
        <v>2530</v>
      </c>
      <c r="D356" s="12"/>
    </row>
    <row r="357" spans="2:4" ht="15.75">
      <c r="B357" s="411" t="s">
        <v>2531</v>
      </c>
      <c r="C357" s="501" t="s">
        <v>2532</v>
      </c>
      <c r="D357" s="12"/>
    </row>
    <row r="358" spans="2:4" ht="15.75">
      <c r="B358" s="411" t="s">
        <v>2533</v>
      </c>
      <c r="C358" s="501" t="s">
        <v>2534</v>
      </c>
      <c r="D358" s="12"/>
    </row>
    <row r="359" spans="2:4" ht="15.75">
      <c r="B359" s="411" t="s">
        <v>2535</v>
      </c>
      <c r="C359" s="501" t="s">
        <v>2536</v>
      </c>
      <c r="D359" s="12"/>
    </row>
    <row r="360" spans="2:4" ht="15.75">
      <c r="B360" s="464" t="s">
        <v>2537</v>
      </c>
      <c r="C360" s="1088" t="s">
        <v>2538</v>
      </c>
      <c r="D360" s="12"/>
    </row>
    <row r="361" spans="2:4" ht="15.75">
      <c r="B361" s="411" t="s">
        <v>2539</v>
      </c>
      <c r="C361" s="501" t="s">
        <v>2540</v>
      </c>
      <c r="D361" s="12"/>
    </row>
    <row r="362" spans="2:4" ht="31.5">
      <c r="B362" s="411" t="s">
        <v>2414</v>
      </c>
      <c r="C362" s="501" t="s">
        <v>2415</v>
      </c>
      <c r="D362" s="12"/>
    </row>
    <row r="363" spans="2:4" ht="15.75">
      <c r="B363" s="411" t="s">
        <v>2541</v>
      </c>
      <c r="C363" s="501" t="s">
        <v>2542</v>
      </c>
      <c r="D363" s="12"/>
    </row>
    <row r="364" spans="2:4" ht="15.75">
      <c r="B364" s="411" t="s">
        <v>2543</v>
      </c>
      <c r="C364" s="501" t="s">
        <v>2544</v>
      </c>
      <c r="D364" s="12"/>
    </row>
    <row r="365" spans="2:4" ht="31.5">
      <c r="B365" s="411" t="s">
        <v>2545</v>
      </c>
      <c r="C365" s="501" t="s">
        <v>2546</v>
      </c>
      <c r="D365" s="12"/>
    </row>
    <row r="366" spans="2:4" ht="15.75">
      <c r="B366" s="464" t="s">
        <v>2322</v>
      </c>
      <c r="C366" s="1088" t="s">
        <v>2323</v>
      </c>
      <c r="D366" s="12"/>
    </row>
    <row r="367" spans="2:4" ht="15.75">
      <c r="B367" s="411" t="s">
        <v>2548</v>
      </c>
      <c r="C367" s="506" t="s">
        <v>2549</v>
      </c>
      <c r="D367" s="12"/>
    </row>
    <row r="368" spans="2:4" ht="15.75">
      <c r="B368" s="464" t="s">
        <v>2324</v>
      </c>
      <c r="C368" s="1088" t="s">
        <v>2325</v>
      </c>
      <c r="D368" s="12"/>
    </row>
    <row r="369" spans="2:4" ht="31.5">
      <c r="B369" s="411" t="s">
        <v>2551</v>
      </c>
      <c r="C369" s="508" t="s">
        <v>2552</v>
      </c>
      <c r="D369" s="12"/>
    </row>
    <row r="370" spans="2:4" ht="31.5">
      <c r="B370" s="411" t="s">
        <v>2553</v>
      </c>
      <c r="C370" s="508" t="s">
        <v>2554</v>
      </c>
      <c r="D370" s="12"/>
    </row>
    <row r="371" spans="2:4" ht="15.75">
      <c r="B371" s="411" t="s">
        <v>2416</v>
      </c>
      <c r="C371" s="508" t="s">
        <v>2417</v>
      </c>
      <c r="D371" s="12"/>
    </row>
    <row r="372" spans="2:4" ht="15.75">
      <c r="B372" s="411" t="s">
        <v>2418</v>
      </c>
      <c r="C372" s="500" t="s">
        <v>2419</v>
      </c>
      <c r="D372" s="12"/>
    </row>
    <row r="373" spans="2:4" ht="15.75">
      <c r="B373" s="411" t="s">
        <v>2555</v>
      </c>
      <c r="C373" s="500" t="s">
        <v>2556</v>
      </c>
      <c r="D373" s="12"/>
    </row>
    <row r="374" spans="2:4" ht="15.75">
      <c r="B374" s="411" t="s">
        <v>2557</v>
      </c>
      <c r="C374" s="501" t="s">
        <v>2558</v>
      </c>
      <c r="D374" s="12"/>
    </row>
    <row r="375" spans="2:4" ht="15.75">
      <c r="B375" s="411" t="s">
        <v>2559</v>
      </c>
      <c r="C375" s="501" t="s">
        <v>2560</v>
      </c>
      <c r="D375" s="12"/>
    </row>
    <row r="376" spans="2:4" ht="31.5">
      <c r="B376" s="411" t="s">
        <v>2561</v>
      </c>
      <c r="C376" s="501" t="s">
        <v>2562</v>
      </c>
      <c r="D376" s="12"/>
    </row>
    <row r="377" spans="2:4" ht="15.75">
      <c r="B377" s="411" t="s">
        <v>2420</v>
      </c>
      <c r="C377" s="501" t="s">
        <v>2421</v>
      </c>
      <c r="D377" s="12"/>
    </row>
    <row r="378" spans="2:4" ht="15.75">
      <c r="B378" s="411" t="s">
        <v>2422</v>
      </c>
      <c r="C378" s="506" t="s">
        <v>2423</v>
      </c>
      <c r="D378" s="12"/>
    </row>
    <row r="379" spans="2:4" ht="31.5">
      <c r="B379" s="411" t="s">
        <v>2424</v>
      </c>
      <c r="C379" s="506" t="s">
        <v>2425</v>
      </c>
      <c r="D379" s="12"/>
    </row>
    <row r="380" spans="2:4" ht="15.75">
      <c r="B380" s="411" t="s">
        <v>2563</v>
      </c>
      <c r="C380" s="501" t="s">
        <v>2564</v>
      </c>
      <c r="D380" s="12"/>
    </row>
    <row r="381" spans="2:4" ht="15.75">
      <c r="B381" s="411" t="s">
        <v>2565</v>
      </c>
      <c r="C381" s="501" t="s">
        <v>2566</v>
      </c>
      <c r="D381" s="12"/>
    </row>
    <row r="382" spans="2:4" ht="31.5">
      <c r="B382" s="411" t="s">
        <v>2426</v>
      </c>
      <c r="C382" s="508" t="s">
        <v>2427</v>
      </c>
      <c r="D382" s="12"/>
    </row>
    <row r="383" spans="2:4" ht="15.75">
      <c r="B383" s="411" t="s">
        <v>2567</v>
      </c>
      <c r="C383" s="508" t="s">
        <v>2568</v>
      </c>
      <c r="D383" s="12"/>
    </row>
    <row r="384" spans="2:4" ht="15.75">
      <c r="B384" s="411" t="s">
        <v>2569</v>
      </c>
      <c r="C384" s="508" t="s">
        <v>2570</v>
      </c>
      <c r="D384" s="12"/>
    </row>
    <row r="385" spans="2:4" ht="15.75">
      <c r="B385" s="411" t="s">
        <v>2571</v>
      </c>
      <c r="C385" s="508" t="s">
        <v>2572</v>
      </c>
      <c r="D385" s="12"/>
    </row>
    <row r="386" spans="2:4" ht="31.5">
      <c r="B386" s="411" t="s">
        <v>2428</v>
      </c>
      <c r="C386" s="500" t="s">
        <v>2429</v>
      </c>
      <c r="D386" s="12"/>
    </row>
    <row r="387" spans="2:4" ht="15.75">
      <c r="B387" s="411" t="s">
        <v>2573</v>
      </c>
      <c r="C387" s="500" t="s">
        <v>2574</v>
      </c>
      <c r="D387" s="12"/>
    </row>
    <row r="388" spans="2:4" s="281" customFormat="1" ht="15.75">
      <c r="B388" s="411" t="s">
        <v>2575</v>
      </c>
      <c r="C388" s="500" t="s">
        <v>2576</v>
      </c>
      <c r="D388" s="12"/>
    </row>
    <row r="389" spans="2:4" s="281" customFormat="1" ht="15.75">
      <c r="B389" s="411" t="s">
        <v>2577</v>
      </c>
      <c r="C389" s="501" t="s">
        <v>2578</v>
      </c>
      <c r="D389" s="12"/>
    </row>
    <row r="390" spans="2:4" s="281" customFormat="1" ht="31.5">
      <c r="B390" s="411" t="s">
        <v>2430</v>
      </c>
      <c r="C390" s="508" t="s">
        <v>2431</v>
      </c>
      <c r="D390" s="12"/>
    </row>
    <row r="391" spans="2:4" s="281" customFormat="1" ht="15.75">
      <c r="B391" s="411" t="s">
        <v>2579</v>
      </c>
      <c r="C391" s="500" t="s">
        <v>2580</v>
      </c>
      <c r="D391" s="12"/>
    </row>
    <row r="392" spans="2:4" s="281" customFormat="1" ht="15.75">
      <c r="B392" s="411" t="s">
        <v>2581</v>
      </c>
      <c r="C392" s="1704" t="s">
        <v>2582</v>
      </c>
      <c r="D392" s="12"/>
    </row>
    <row r="393" spans="2:4" s="281" customFormat="1" ht="31.5">
      <c r="B393" s="411" t="s">
        <v>2583</v>
      </c>
      <c r="C393" s="501" t="s">
        <v>2584</v>
      </c>
      <c r="D393" s="12"/>
    </row>
    <row r="394" spans="2:4" s="281" customFormat="1" ht="15.75">
      <c r="B394" s="411" t="s">
        <v>2432</v>
      </c>
      <c r="C394" s="501" t="s">
        <v>2433</v>
      </c>
      <c r="D394" s="12"/>
    </row>
    <row r="395" spans="2:4" s="281" customFormat="1" ht="15.75">
      <c r="B395" s="411" t="s">
        <v>2434</v>
      </c>
      <c r="C395" s="501" t="s">
        <v>2435</v>
      </c>
      <c r="D395" s="12"/>
    </row>
    <row r="396" spans="2:4" s="281" customFormat="1" ht="31.5">
      <c r="B396" s="411" t="s">
        <v>2436</v>
      </c>
      <c r="C396" s="501" t="s">
        <v>2437</v>
      </c>
      <c r="D396" s="12"/>
    </row>
    <row r="397" spans="2:4" s="281" customFormat="1" ht="31.5">
      <c r="B397" s="411" t="s">
        <v>2438</v>
      </c>
      <c r="C397" s="501" t="s">
        <v>2439</v>
      </c>
      <c r="D397" s="12"/>
    </row>
    <row r="398" spans="2:4" s="281" customFormat="1" ht="15.75">
      <c r="B398" s="1807" t="s">
        <v>2351</v>
      </c>
      <c r="C398" s="431" t="s">
        <v>2352</v>
      </c>
      <c r="D398" s="12"/>
    </row>
    <row r="399" spans="2:4" ht="31.5">
      <c r="B399" s="411" t="s">
        <v>2585</v>
      </c>
      <c r="C399" s="505" t="s">
        <v>2586</v>
      </c>
      <c r="D399" s="12"/>
    </row>
    <row r="400" spans="2:4" ht="31.5">
      <c r="B400" s="411" t="s">
        <v>2587</v>
      </c>
      <c r="C400" s="501" t="s">
        <v>2588</v>
      </c>
      <c r="D400" s="12"/>
    </row>
    <row r="401" spans="2:4" ht="31.5">
      <c r="B401" s="411" t="s">
        <v>2440</v>
      </c>
      <c r="C401" s="501" t="s">
        <v>2441</v>
      </c>
      <c r="D401" s="12"/>
    </row>
    <row r="402" spans="2:4" ht="31.5">
      <c r="B402" s="411" t="s">
        <v>2589</v>
      </c>
      <c r="C402" s="501" t="s">
        <v>2590</v>
      </c>
      <c r="D402" s="12"/>
    </row>
    <row r="403" spans="2:4" ht="31.5">
      <c r="B403" s="411" t="s">
        <v>2442</v>
      </c>
      <c r="C403" s="501" t="s">
        <v>2443</v>
      </c>
      <c r="D403" s="12"/>
    </row>
    <row r="404" spans="2:4" ht="15.75">
      <c r="B404" s="411" t="s">
        <v>2591</v>
      </c>
      <c r="C404" s="501" t="s">
        <v>2592</v>
      </c>
      <c r="D404" s="12"/>
    </row>
    <row r="405" spans="2:4" ht="31.5">
      <c r="B405" s="411" t="s">
        <v>2444</v>
      </c>
      <c r="C405" s="505" t="s">
        <v>2445</v>
      </c>
      <c r="D405" s="12"/>
    </row>
    <row r="406" spans="2:4" ht="31.5">
      <c r="B406" s="411" t="s">
        <v>2446</v>
      </c>
      <c r="C406" s="505" t="s">
        <v>2447</v>
      </c>
      <c r="D406" s="12"/>
    </row>
    <row r="407" spans="2:4" ht="31.5">
      <c r="B407" s="411" t="s">
        <v>2448</v>
      </c>
      <c r="C407" s="505" t="s">
        <v>2449</v>
      </c>
      <c r="D407" s="12"/>
    </row>
    <row r="408" spans="2:4" ht="15.75">
      <c r="B408" s="1819" t="s">
        <v>2593</v>
      </c>
      <c r="C408" s="505" t="s">
        <v>2594</v>
      </c>
      <c r="D408" s="12"/>
    </row>
    <row r="409" spans="2:4" ht="15.75">
      <c r="B409" s="411" t="s">
        <v>2595</v>
      </c>
      <c r="C409" s="500" t="s">
        <v>2596</v>
      </c>
      <c r="D409" s="12"/>
    </row>
    <row r="410" spans="2:4" ht="15.75">
      <c r="B410" s="411" t="s">
        <v>2597</v>
      </c>
      <c r="C410" s="500" t="s">
        <v>2598</v>
      </c>
      <c r="D410" s="12"/>
    </row>
    <row r="411" spans="2:4" ht="15.75">
      <c r="B411" s="411" t="s">
        <v>2450</v>
      </c>
      <c r="C411" s="500" t="s">
        <v>2451</v>
      </c>
      <c r="D411" s="12"/>
    </row>
    <row r="412" spans="2:4" ht="15.75">
      <c r="B412" s="411" t="s">
        <v>2452</v>
      </c>
      <c r="C412" s="500" t="s">
        <v>2453</v>
      </c>
      <c r="D412" s="12"/>
    </row>
    <row r="413" spans="2:4" ht="31.5">
      <c r="B413" s="411" t="s">
        <v>2599</v>
      </c>
      <c r="C413" s="500" t="s">
        <v>2600</v>
      </c>
      <c r="D413" s="12"/>
    </row>
    <row r="414" spans="2:4" ht="15.75">
      <c r="B414" s="411" t="s">
        <v>2601</v>
      </c>
      <c r="C414" s="500" t="s">
        <v>2602</v>
      </c>
      <c r="D414" s="12"/>
    </row>
    <row r="415" spans="2:4" ht="31.5">
      <c r="B415" s="411" t="s">
        <v>2454</v>
      </c>
      <c r="C415" s="508" t="s">
        <v>2455</v>
      </c>
      <c r="D415" s="12"/>
    </row>
    <row r="416" spans="2:4" ht="47.25">
      <c r="B416" s="1820" t="s">
        <v>2603</v>
      </c>
      <c r="C416" s="500" t="s">
        <v>2604</v>
      </c>
      <c r="D416" s="12"/>
    </row>
    <row r="417" spans="2:4" ht="15.75">
      <c r="B417" s="411" t="s">
        <v>2605</v>
      </c>
      <c r="C417" s="1704" t="s">
        <v>2606</v>
      </c>
      <c r="D417" s="12"/>
    </row>
    <row r="418" spans="2:4" ht="15.75">
      <c r="B418" s="411" t="s">
        <v>2607</v>
      </c>
      <c r="C418" s="501" t="s">
        <v>2608</v>
      </c>
      <c r="D418" s="12"/>
    </row>
    <row r="419" spans="2:4" ht="15.75">
      <c r="B419" s="411" t="s">
        <v>2609</v>
      </c>
      <c r="C419" s="501" t="s">
        <v>2610</v>
      </c>
      <c r="D419" s="12"/>
    </row>
    <row r="420" spans="2:4" ht="15.75">
      <c r="B420" s="411" t="s">
        <v>2611</v>
      </c>
      <c r="C420" s="501" t="s">
        <v>2612</v>
      </c>
      <c r="D420" s="12"/>
    </row>
    <row r="421" spans="2:4" ht="15.75">
      <c r="B421" s="464" t="s">
        <v>2613</v>
      </c>
      <c r="C421" s="431" t="s">
        <v>2614</v>
      </c>
      <c r="D421" s="12"/>
    </row>
    <row r="422" spans="2:4" ht="15.75">
      <c r="B422" s="464" t="s">
        <v>2615</v>
      </c>
      <c r="C422" s="431" t="s">
        <v>2616</v>
      </c>
      <c r="D422" s="12"/>
    </row>
    <row r="423" spans="2:4" ht="15.75">
      <c r="B423" s="411" t="s">
        <v>2617</v>
      </c>
      <c r="C423" s="505" t="s">
        <v>2618</v>
      </c>
      <c r="D423" s="12"/>
    </row>
    <row r="424" spans="2:4" ht="15.75">
      <c r="B424" s="411" t="s">
        <v>2619</v>
      </c>
      <c r="C424" s="508" t="s">
        <v>2620</v>
      </c>
      <c r="D424" s="12"/>
    </row>
    <row r="425" spans="2:4" ht="15.75">
      <c r="B425" s="1804" t="s">
        <v>3127</v>
      </c>
      <c r="C425" s="1731" t="s">
        <v>3128</v>
      </c>
      <c r="D425" s="12"/>
    </row>
    <row r="426" spans="2:4" ht="15.75">
      <c r="B426" s="464" t="s">
        <v>2326</v>
      </c>
      <c r="C426" s="488" t="s">
        <v>2327</v>
      </c>
      <c r="D426" s="12"/>
    </row>
    <row r="427" spans="2:4" ht="15.75">
      <c r="B427" s="471" t="s">
        <v>2456</v>
      </c>
      <c r="C427" s="418" t="s">
        <v>2457</v>
      </c>
      <c r="D427" s="12"/>
    </row>
    <row r="428" spans="2:4" ht="15.75">
      <c r="B428" s="464" t="s">
        <v>2328</v>
      </c>
      <c r="C428" s="488" t="s">
        <v>2329</v>
      </c>
      <c r="D428" s="12"/>
    </row>
    <row r="429" spans="2:4" ht="31.5">
      <c r="B429" s="411" t="s">
        <v>2458</v>
      </c>
      <c r="C429" s="506" t="s">
        <v>2459</v>
      </c>
      <c r="D429" s="12"/>
    </row>
    <row r="430" spans="2:4" ht="15.75">
      <c r="B430" s="411" t="s">
        <v>2460</v>
      </c>
      <c r="C430" s="506" t="s">
        <v>2461</v>
      </c>
      <c r="D430" s="12"/>
    </row>
    <row r="431" spans="2:4" ht="15.75">
      <c r="B431" s="411" t="s">
        <v>2462</v>
      </c>
      <c r="C431" s="506" t="s">
        <v>2463</v>
      </c>
      <c r="D431" s="12"/>
    </row>
    <row r="432" spans="2:4" ht="15.75">
      <c r="B432" s="411" t="s">
        <v>2464</v>
      </c>
      <c r="C432" s="506" t="s">
        <v>2465</v>
      </c>
      <c r="D432" s="12"/>
    </row>
    <row r="433" spans="2:4" ht="15.75">
      <c r="B433" s="411" t="s">
        <v>2621</v>
      </c>
      <c r="C433" s="506" t="s">
        <v>2622</v>
      </c>
      <c r="D433" s="12"/>
    </row>
    <row r="434" spans="2:4" ht="15.75">
      <c r="B434" s="411" t="s">
        <v>2466</v>
      </c>
      <c r="C434" s="506" t="s">
        <v>2467</v>
      </c>
      <c r="D434" s="12"/>
    </row>
    <row r="435" spans="2:4" ht="15.75">
      <c r="B435" s="411" t="s">
        <v>2468</v>
      </c>
      <c r="C435" s="506" t="s">
        <v>2469</v>
      </c>
      <c r="D435" s="12"/>
    </row>
    <row r="436" spans="2:4" ht="15.75">
      <c r="B436" s="464" t="s">
        <v>2470</v>
      </c>
      <c r="C436" s="416" t="s">
        <v>2471</v>
      </c>
      <c r="D436" s="12"/>
    </row>
    <row r="437" spans="2:4" ht="15.75">
      <c r="B437" s="411" t="s">
        <v>2472</v>
      </c>
      <c r="C437" s="506" t="s">
        <v>2473</v>
      </c>
      <c r="D437" s="12"/>
    </row>
    <row r="438" spans="2:4" ht="15.75">
      <c r="B438" s="411" t="s">
        <v>2474</v>
      </c>
      <c r="C438" s="1720" t="s">
        <v>2475</v>
      </c>
      <c r="D438" s="12"/>
    </row>
    <row r="439" spans="2:4" ht="15.75">
      <c r="B439" s="411" t="s">
        <v>2476</v>
      </c>
      <c r="C439" s="506" t="s">
        <v>2477</v>
      </c>
      <c r="D439" s="12"/>
    </row>
    <row r="440" spans="2:4" ht="15.75">
      <c r="B440" s="411" t="s">
        <v>2478</v>
      </c>
      <c r="C440" s="506" t="s">
        <v>2479</v>
      </c>
      <c r="D440" s="12"/>
    </row>
    <row r="441" spans="2:4" ht="15.75">
      <c r="B441" s="411" t="s">
        <v>2480</v>
      </c>
      <c r="C441" s="506" t="s">
        <v>2481</v>
      </c>
      <c r="D441" s="12"/>
    </row>
    <row r="442" spans="2:4" ht="15.75">
      <c r="B442" s="1821" t="s">
        <v>2482</v>
      </c>
      <c r="C442" s="1750" t="s">
        <v>2483</v>
      </c>
      <c r="D442" s="12"/>
    </row>
    <row r="443" spans="2:4" ht="15.75">
      <c r="B443" s="464" t="s">
        <v>2484</v>
      </c>
      <c r="C443" s="416" t="s">
        <v>2485</v>
      </c>
      <c r="D443" s="12"/>
    </row>
    <row r="444" spans="2:4" ht="15.75">
      <c r="B444" s="464" t="s">
        <v>2486</v>
      </c>
      <c r="C444" s="416" t="s">
        <v>2487</v>
      </c>
      <c r="D444" s="12"/>
    </row>
    <row r="445" spans="2:4" ht="15.75">
      <c r="B445" s="464" t="s">
        <v>2488</v>
      </c>
      <c r="C445" s="416" t="s">
        <v>2489</v>
      </c>
      <c r="D445" s="12"/>
    </row>
    <row r="446" spans="2:4" ht="15.75">
      <c r="B446" s="464" t="s">
        <v>2490</v>
      </c>
      <c r="C446" s="416" t="s">
        <v>2491</v>
      </c>
      <c r="D446" s="12"/>
    </row>
    <row r="447" spans="2:4" ht="15.75">
      <c r="B447" s="464" t="s">
        <v>2492</v>
      </c>
      <c r="C447" s="416" t="s">
        <v>2493</v>
      </c>
      <c r="D447" s="12"/>
    </row>
    <row r="448" spans="2:4" ht="15.75">
      <c r="B448" s="464" t="s">
        <v>2494</v>
      </c>
      <c r="C448" s="416" t="s">
        <v>2495</v>
      </c>
      <c r="D448" s="12"/>
    </row>
    <row r="449" spans="2:4" ht="15.75">
      <c r="B449" s="411" t="s">
        <v>2496</v>
      </c>
      <c r="C449" s="506" t="s">
        <v>2497</v>
      </c>
      <c r="D449" s="12"/>
    </row>
    <row r="450" spans="2:4" ht="15.75">
      <c r="B450" s="411" t="s">
        <v>2498</v>
      </c>
      <c r="C450" s="506" t="s">
        <v>2499</v>
      </c>
      <c r="D450" s="12"/>
    </row>
    <row r="451" spans="2:4" ht="15.75">
      <c r="B451" s="411" t="s">
        <v>2500</v>
      </c>
      <c r="C451" s="1720" t="s">
        <v>2501</v>
      </c>
      <c r="D451" s="12"/>
    </row>
    <row r="452" spans="2:4" ht="15.75">
      <c r="B452" s="411" t="s">
        <v>2502</v>
      </c>
      <c r="C452" s="1720" t="s">
        <v>2503</v>
      </c>
      <c r="D452" s="12"/>
    </row>
    <row r="453" spans="2:4" ht="31.5">
      <c r="B453" s="1822" t="s">
        <v>2623</v>
      </c>
      <c r="C453" s="1748" t="s">
        <v>2624</v>
      </c>
      <c r="D453" s="12"/>
    </row>
    <row r="454" spans="2:4" ht="15.75">
      <c r="B454" s="411" t="s">
        <v>2504</v>
      </c>
      <c r="C454" s="1720" t="s">
        <v>2505</v>
      </c>
      <c r="D454" s="12"/>
    </row>
    <row r="455" spans="2:4" ht="15.75">
      <c r="B455" s="411" t="s">
        <v>2506</v>
      </c>
      <c r="C455" s="500" t="s">
        <v>2507</v>
      </c>
      <c r="D455" s="12"/>
    </row>
    <row r="456" spans="2:4" ht="31.5">
      <c r="B456" s="411" t="s">
        <v>2625</v>
      </c>
      <c r="C456" s="506" t="s">
        <v>2626</v>
      </c>
      <c r="D456" s="12"/>
    </row>
    <row r="457" spans="2:4" ht="31.5">
      <c r="B457" s="464" t="s">
        <v>2636</v>
      </c>
      <c r="C457" s="534" t="s">
        <v>2637</v>
      </c>
      <c r="D457" s="12"/>
    </row>
    <row r="458" spans="2:4" ht="15.75">
      <c r="B458" s="411" t="s">
        <v>2508</v>
      </c>
      <c r="C458" s="506" t="s">
        <v>2509</v>
      </c>
      <c r="D458" s="12"/>
    </row>
    <row r="459" spans="2:4" ht="15.75">
      <c r="B459" s="464" t="s">
        <v>2977</v>
      </c>
      <c r="C459" s="416" t="s">
        <v>2978</v>
      </c>
      <c r="D459" s="12"/>
    </row>
    <row r="460" spans="2:4" ht="15.75">
      <c r="B460" s="464" t="s">
        <v>2119</v>
      </c>
      <c r="C460" s="416" t="s">
        <v>2120</v>
      </c>
      <c r="D460" s="12"/>
    </row>
    <row r="461" spans="2:4" ht="15.75">
      <c r="B461" s="411" t="s">
        <v>2121</v>
      </c>
      <c r="C461" s="1739" t="s">
        <v>2122</v>
      </c>
      <c r="D461" s="12"/>
    </row>
    <row r="462" spans="2:4" ht="15.75">
      <c r="B462" s="464" t="s">
        <v>2123</v>
      </c>
      <c r="C462" s="416" t="s">
        <v>2124</v>
      </c>
      <c r="D462" s="12"/>
    </row>
    <row r="463" spans="2:4" ht="31.5">
      <c r="B463" s="464" t="s">
        <v>2979</v>
      </c>
      <c r="C463" s="416" t="s">
        <v>2980</v>
      </c>
      <c r="D463" s="12"/>
    </row>
    <row r="464" spans="2:4" ht="15.75">
      <c r="B464" s="464" t="s">
        <v>2827</v>
      </c>
      <c r="C464" s="416" t="s">
        <v>2828</v>
      </c>
      <c r="D464" s="12"/>
    </row>
    <row r="465" spans="2:4" ht="31.5">
      <c r="B465" s="464" t="s">
        <v>2829</v>
      </c>
      <c r="C465" s="416" t="s">
        <v>2830</v>
      </c>
      <c r="D465" s="12"/>
    </row>
    <row r="466" spans="2:4" ht="15.75">
      <c r="B466" s="464" t="s">
        <v>2831</v>
      </c>
      <c r="C466" s="416" t="s">
        <v>2832</v>
      </c>
      <c r="D466" s="12"/>
    </row>
    <row r="467" spans="2:4" ht="15.75">
      <c r="B467" s="1796" t="s">
        <v>3311</v>
      </c>
      <c r="C467" s="1760" t="s">
        <v>3312</v>
      </c>
      <c r="D467" s="12"/>
    </row>
    <row r="468" spans="2:4" ht="15.75">
      <c r="B468" s="1796" t="s">
        <v>3313</v>
      </c>
      <c r="C468" s="1760" t="s">
        <v>3314</v>
      </c>
      <c r="D468" s="12"/>
    </row>
    <row r="469" spans="2:4" ht="15.75">
      <c r="B469" s="1796" t="s">
        <v>3315</v>
      </c>
      <c r="C469" s="1760" t="s">
        <v>3316</v>
      </c>
      <c r="D469" s="12"/>
    </row>
    <row r="470" spans="2:4" ht="15.75">
      <c r="B470" s="1796" t="s">
        <v>3317</v>
      </c>
      <c r="C470" s="1760" t="s">
        <v>3318</v>
      </c>
      <c r="D470" s="12"/>
    </row>
    <row r="471" spans="2:4" ht="15.75">
      <c r="B471" s="1796" t="s">
        <v>3319</v>
      </c>
      <c r="C471" s="1760" t="s">
        <v>3320</v>
      </c>
      <c r="D471" s="12"/>
    </row>
    <row r="472" spans="2:4" ht="15.75">
      <c r="B472" s="1796" t="s">
        <v>3352</v>
      </c>
      <c r="C472" s="1760" t="s">
        <v>3353</v>
      </c>
      <c r="D472" s="12"/>
    </row>
    <row r="473" spans="2:4" ht="15.75">
      <c r="B473" s="1796" t="s">
        <v>3354</v>
      </c>
      <c r="C473" s="1760" t="s">
        <v>3355</v>
      </c>
      <c r="D473" s="12"/>
    </row>
    <row r="474" spans="2:4" ht="15.75">
      <c r="B474" s="1796" t="s">
        <v>3356</v>
      </c>
      <c r="C474" s="1760" t="s">
        <v>3357</v>
      </c>
      <c r="D474" s="12"/>
    </row>
    <row r="475" spans="2:4" ht="15.75">
      <c r="B475" s="1796" t="s">
        <v>3358</v>
      </c>
      <c r="C475" s="1760" t="s">
        <v>3359</v>
      </c>
      <c r="D475" s="12"/>
    </row>
    <row r="476" spans="2:4" ht="15.75">
      <c r="B476" s="1797" t="s">
        <v>3309</v>
      </c>
      <c r="C476" s="1760" t="s">
        <v>3310</v>
      </c>
      <c r="D476" s="12"/>
    </row>
    <row r="477" spans="2:4" ht="15.75">
      <c r="B477" s="1796" t="s">
        <v>3307</v>
      </c>
      <c r="C477" s="1760" t="s">
        <v>3308</v>
      </c>
      <c r="D477" s="12"/>
    </row>
    <row r="478" spans="2:4" ht="15.75">
      <c r="B478" s="1796" t="s">
        <v>3347</v>
      </c>
      <c r="C478" s="1760" t="s">
        <v>3348</v>
      </c>
      <c r="D478" s="12"/>
    </row>
    <row r="479" spans="2:4" ht="15.75">
      <c r="B479" s="1796" t="s">
        <v>3349</v>
      </c>
      <c r="C479" s="1760" t="s">
        <v>3350</v>
      </c>
      <c r="D479" s="12"/>
    </row>
    <row r="480" spans="2:4" ht="15.75">
      <c r="B480" s="1796" t="s">
        <v>3841</v>
      </c>
      <c r="C480" s="1760" t="s">
        <v>3842</v>
      </c>
      <c r="D480" s="12"/>
    </row>
    <row r="481" spans="2:4" ht="15.75">
      <c r="B481" s="1796" t="s">
        <v>3360</v>
      </c>
      <c r="C481" s="1760" t="s">
        <v>3361</v>
      </c>
      <c r="D481" s="12"/>
    </row>
    <row r="482" spans="2:4" ht="15.75">
      <c r="B482" s="1796" t="s">
        <v>3362</v>
      </c>
      <c r="C482" s="1760" t="s">
        <v>3363</v>
      </c>
      <c r="D482" s="12"/>
    </row>
    <row r="483" spans="2:4" ht="15.75">
      <c r="B483" s="1796" t="s">
        <v>3368</v>
      </c>
      <c r="C483" s="1760" t="s">
        <v>3369</v>
      </c>
      <c r="D483" s="12"/>
    </row>
    <row r="484" spans="2:4" ht="15.75">
      <c r="B484" s="1796" t="s">
        <v>3366</v>
      </c>
      <c r="C484" s="1765" t="s">
        <v>3367</v>
      </c>
      <c r="D484" s="12"/>
    </row>
    <row r="485" spans="2:4" ht="15.75">
      <c r="B485" s="1796" t="s">
        <v>3370</v>
      </c>
      <c r="C485" s="1759" t="s">
        <v>3371</v>
      </c>
      <c r="D485" s="12"/>
    </row>
    <row r="486" spans="2:4" ht="15.75">
      <c r="B486" s="1796" t="s">
        <v>3364</v>
      </c>
      <c r="C486" s="1760" t="s">
        <v>3365</v>
      </c>
      <c r="D486" s="12"/>
    </row>
    <row r="487" spans="2:4" ht="15.75">
      <c r="B487" s="1796" t="s">
        <v>3301</v>
      </c>
      <c r="C487" s="1760" t="s">
        <v>3302</v>
      </c>
      <c r="D487" s="12"/>
    </row>
    <row r="488" spans="2:4" ht="15.75">
      <c r="B488" s="1796" t="s">
        <v>3303</v>
      </c>
      <c r="C488" s="1760" t="s">
        <v>3304</v>
      </c>
      <c r="D488" s="12"/>
    </row>
    <row r="489" spans="2:4" ht="15.75">
      <c r="B489" s="1796" t="s">
        <v>3305</v>
      </c>
      <c r="C489" s="1760" t="s">
        <v>3306</v>
      </c>
      <c r="D489" s="12"/>
    </row>
    <row r="490" spans="2:4" ht="15.75">
      <c r="B490" s="1796" t="s">
        <v>3330</v>
      </c>
      <c r="C490" s="1760" t="s">
        <v>3935</v>
      </c>
      <c r="D490" s="12"/>
    </row>
    <row r="491" spans="2:4" ht="15.75">
      <c r="B491" s="1796" t="s">
        <v>3321</v>
      </c>
      <c r="C491" s="1760" t="s">
        <v>3322</v>
      </c>
      <c r="D491" s="12"/>
    </row>
    <row r="492" spans="2:4" ht="15.75">
      <c r="B492" s="1796" t="s">
        <v>3323</v>
      </c>
      <c r="C492" s="1760" t="s">
        <v>3324</v>
      </c>
      <c r="D492" s="12"/>
    </row>
    <row r="493" spans="2:4" ht="15.75">
      <c r="B493" s="1796" t="s">
        <v>3325</v>
      </c>
      <c r="C493" s="1760" t="s">
        <v>3326</v>
      </c>
      <c r="D493" s="12"/>
    </row>
    <row r="494" spans="2:4" ht="15.75">
      <c r="B494" s="1796" t="s">
        <v>3343</v>
      </c>
      <c r="C494" s="1760" t="s">
        <v>3344</v>
      </c>
      <c r="D494" s="12"/>
    </row>
    <row r="495" spans="2:4" ht="15.75">
      <c r="B495" s="1796" t="s">
        <v>3337</v>
      </c>
      <c r="C495" s="1760" t="s">
        <v>3338</v>
      </c>
      <c r="D495" s="12"/>
    </row>
    <row r="496" spans="2:4" ht="15.75">
      <c r="B496" s="1796" t="s">
        <v>3345</v>
      </c>
      <c r="C496" s="1760" t="s">
        <v>3346</v>
      </c>
      <c r="D496" s="12"/>
    </row>
    <row r="497" spans="2:4" ht="15.75">
      <c r="B497" s="464" t="s">
        <v>2125</v>
      </c>
      <c r="C497" s="416" t="s">
        <v>2126</v>
      </c>
      <c r="D497" s="12"/>
    </row>
    <row r="498" spans="2:4" ht="15.75">
      <c r="B498" s="1796" t="s">
        <v>2127</v>
      </c>
      <c r="C498" s="1760" t="s">
        <v>2128</v>
      </c>
      <c r="D498" s="12"/>
    </row>
    <row r="499" spans="2:4" ht="15.75">
      <c r="B499" s="1796" t="s">
        <v>3339</v>
      </c>
      <c r="C499" s="1760" t="s">
        <v>3340</v>
      </c>
      <c r="D499" s="12"/>
    </row>
    <row r="500" spans="2:4" ht="15.75">
      <c r="B500" s="1796" t="s">
        <v>3341</v>
      </c>
      <c r="C500" s="1760" t="s">
        <v>3342</v>
      </c>
      <c r="D500" s="12"/>
    </row>
    <row r="501" spans="2:4" ht="15.75">
      <c r="B501" s="1796" t="s">
        <v>3335</v>
      </c>
      <c r="C501" s="1760" t="s">
        <v>3336</v>
      </c>
      <c r="D501" s="12"/>
    </row>
    <row r="502" spans="2:4" ht="15.75">
      <c r="B502" s="1796" t="s">
        <v>3331</v>
      </c>
      <c r="C502" s="1760" t="s">
        <v>3332</v>
      </c>
      <c r="D502" s="12"/>
    </row>
    <row r="503" spans="2:4" ht="15.75">
      <c r="B503" s="1796" t="s">
        <v>3333</v>
      </c>
      <c r="C503" s="1760" t="s">
        <v>3334</v>
      </c>
      <c r="D503" s="12"/>
    </row>
    <row r="504" spans="2:4" ht="15.75">
      <c r="B504" s="1796" t="s">
        <v>162</v>
      </c>
      <c r="C504" s="1760" t="s">
        <v>3329</v>
      </c>
      <c r="D504" s="12"/>
    </row>
    <row r="505" spans="2:4" ht="15.75">
      <c r="B505" s="1796" t="s">
        <v>3327</v>
      </c>
      <c r="C505" s="1760" t="s">
        <v>3328</v>
      </c>
      <c r="D505" s="12"/>
    </row>
    <row r="506" spans="2:4" ht="15.75">
      <c r="B506" s="464" t="s">
        <v>2833</v>
      </c>
      <c r="C506" s="416" t="s">
        <v>2834</v>
      </c>
      <c r="D506" s="12"/>
    </row>
    <row r="507" spans="2:4" ht="15.75">
      <c r="B507" s="1796" t="s">
        <v>3351</v>
      </c>
      <c r="C507" s="1760" t="s">
        <v>2834</v>
      </c>
      <c r="D507" s="12"/>
    </row>
    <row r="508" spans="2:4" ht="15.75">
      <c r="B508" s="1796" t="s">
        <v>3372</v>
      </c>
      <c r="C508" s="1760" t="s">
        <v>3373</v>
      </c>
      <c r="D508" s="12"/>
    </row>
    <row r="509" spans="2:4" ht="15.75">
      <c r="B509" s="464" t="s">
        <v>3084</v>
      </c>
      <c r="C509" s="1721" t="s">
        <v>3085</v>
      </c>
      <c r="D509" s="12"/>
    </row>
    <row r="510" spans="2:4" ht="15.75">
      <c r="B510" s="562" t="s">
        <v>2894</v>
      </c>
      <c r="C510" s="571" t="s">
        <v>2895</v>
      </c>
      <c r="D510" s="12"/>
    </row>
    <row r="511" spans="2:4" ht="31.5">
      <c r="B511" s="411" t="s">
        <v>2845</v>
      </c>
      <c r="C511" s="416" t="s">
        <v>2846</v>
      </c>
      <c r="D511" s="12"/>
    </row>
    <row r="512" spans="2:4" ht="15.75">
      <c r="B512" s="464" t="s">
        <v>2062</v>
      </c>
      <c r="C512" s="416" t="s">
        <v>2063</v>
      </c>
      <c r="D512" s="12"/>
    </row>
    <row r="513" spans="2:4" ht="15.75">
      <c r="B513" s="464" t="s">
        <v>2012</v>
      </c>
      <c r="C513" s="416" t="s">
        <v>2013</v>
      </c>
      <c r="D513" s="12"/>
    </row>
    <row r="514" spans="2:4" ht="15.75">
      <c r="B514" s="464" t="s">
        <v>2014</v>
      </c>
      <c r="C514" s="416" t="s">
        <v>2015</v>
      </c>
      <c r="D514" s="12"/>
    </row>
    <row r="515" spans="2:4" ht="15.75">
      <c r="B515" s="464" t="s">
        <v>2016</v>
      </c>
      <c r="C515" s="416" t="s">
        <v>2017</v>
      </c>
      <c r="D515" s="12"/>
    </row>
    <row r="516" spans="2:4" ht="15.75">
      <c r="B516" s="464" t="s">
        <v>2040</v>
      </c>
      <c r="C516" s="416" t="s">
        <v>2041</v>
      </c>
      <c r="D516" s="12"/>
    </row>
    <row r="517" spans="2:4" ht="15.75">
      <c r="B517" s="464" t="s">
        <v>2018</v>
      </c>
      <c r="C517" s="416" t="s">
        <v>2019</v>
      </c>
      <c r="D517" s="12"/>
    </row>
    <row r="518" spans="2:4" ht="15.75">
      <c r="B518" s="464" t="s">
        <v>2738</v>
      </c>
      <c r="C518" s="416" t="s">
        <v>2739</v>
      </c>
      <c r="D518" s="12"/>
    </row>
    <row r="519" spans="2:4" ht="15.75">
      <c r="B519" s="464" t="s">
        <v>2740</v>
      </c>
      <c r="C519" s="416" t="s">
        <v>2741</v>
      </c>
      <c r="D519" s="12"/>
    </row>
    <row r="520" spans="2:4" ht="15.75">
      <c r="B520" s="464" t="s">
        <v>2708</v>
      </c>
      <c r="C520" s="416" t="s">
        <v>2709</v>
      </c>
      <c r="D520" s="12"/>
    </row>
    <row r="521" spans="2:4" ht="15.75">
      <c r="B521" s="464" t="s">
        <v>2742</v>
      </c>
      <c r="C521" s="416" t="s">
        <v>2743</v>
      </c>
      <c r="D521" s="12"/>
    </row>
    <row r="522" spans="2:4" ht="15.75">
      <c r="B522" s="464" t="s">
        <v>2744</v>
      </c>
      <c r="C522" s="416" t="s">
        <v>2745</v>
      </c>
      <c r="D522" s="12"/>
    </row>
    <row r="523" spans="2:4" ht="15.75">
      <c r="B523" s="1807" t="s">
        <v>2746</v>
      </c>
      <c r="C523" s="406" t="s">
        <v>2747</v>
      </c>
      <c r="D523" s="12"/>
    </row>
    <row r="524" spans="2:4" ht="15.75">
      <c r="B524" s="1807" t="s">
        <v>2748</v>
      </c>
      <c r="C524" s="406" t="s">
        <v>2749</v>
      </c>
      <c r="D524" s="12"/>
    </row>
    <row r="525" spans="2:4" ht="15.75">
      <c r="B525" s="464" t="s">
        <v>2750</v>
      </c>
      <c r="C525" s="530" t="s">
        <v>2751</v>
      </c>
      <c r="D525" s="12"/>
    </row>
    <row r="526" spans="2:4" ht="15.75">
      <c r="B526" s="464" t="s">
        <v>2752</v>
      </c>
      <c r="C526" s="406" t="s">
        <v>2753</v>
      </c>
      <c r="D526" s="12"/>
    </row>
    <row r="527" spans="2:4" ht="15.75">
      <c r="B527" s="464" t="s">
        <v>2754</v>
      </c>
      <c r="C527" s="416" t="s">
        <v>2755</v>
      </c>
      <c r="D527" s="12"/>
    </row>
    <row r="528" spans="2:4" ht="15.75">
      <c r="B528" s="464" t="s">
        <v>2756</v>
      </c>
      <c r="C528" s="416" t="s">
        <v>2757</v>
      </c>
      <c r="D528" s="12"/>
    </row>
    <row r="529" spans="2:4" ht="15.75">
      <c r="B529" s="464" t="s">
        <v>2758</v>
      </c>
      <c r="C529" s="416" t="s">
        <v>2759</v>
      </c>
      <c r="D529" s="12"/>
    </row>
    <row r="530" spans="2:4" ht="15.75">
      <c r="B530" s="464" t="s">
        <v>2760</v>
      </c>
      <c r="C530" s="416" t="s">
        <v>2761</v>
      </c>
      <c r="D530" s="12"/>
    </row>
    <row r="531" spans="2:4" ht="15.75">
      <c r="B531" s="464" t="s">
        <v>2762</v>
      </c>
      <c r="C531" s="416" t="s">
        <v>2763</v>
      </c>
      <c r="D531" s="12"/>
    </row>
    <row r="532" spans="2:4" ht="15.75">
      <c r="B532" s="411" t="s">
        <v>2627</v>
      </c>
      <c r="C532" s="506" t="s">
        <v>2628</v>
      </c>
      <c r="D532" s="12"/>
    </row>
    <row r="533" spans="2:4" ht="15.75">
      <c r="B533" s="464" t="s">
        <v>2330</v>
      </c>
      <c r="C533" s="416" t="s">
        <v>2331</v>
      </c>
      <c r="D533" s="12"/>
    </row>
    <row r="534" spans="2:4" ht="31.5">
      <c r="B534" s="464" t="s">
        <v>2638</v>
      </c>
      <c r="C534" s="416" t="s">
        <v>2639</v>
      </c>
      <c r="D534" s="12"/>
    </row>
    <row r="535" spans="2:4" ht="15.75">
      <c r="B535" s="411" t="s">
        <v>2510</v>
      </c>
      <c r="C535" s="506" t="s">
        <v>2511</v>
      </c>
      <c r="D535" s="12"/>
    </row>
    <row r="536" spans="2:4" ht="15.75">
      <c r="B536" s="411" t="s">
        <v>2512</v>
      </c>
      <c r="C536" s="506" t="s">
        <v>2513</v>
      </c>
      <c r="D536" s="12"/>
    </row>
    <row r="537" spans="2:4" ht="15.75">
      <c r="B537" s="411" t="s">
        <v>2514</v>
      </c>
      <c r="C537" s="506" t="s">
        <v>2515</v>
      </c>
      <c r="D537" s="12"/>
    </row>
    <row r="538" spans="2:4" ht="15.75">
      <c r="B538" s="411" t="s">
        <v>2516</v>
      </c>
      <c r="C538" s="506" t="s">
        <v>2517</v>
      </c>
      <c r="D538" s="12"/>
    </row>
    <row r="539" spans="2:4" ht="15.75">
      <c r="B539" s="411" t="s">
        <v>2629</v>
      </c>
      <c r="C539" s="506" t="s">
        <v>2630</v>
      </c>
      <c r="D539" s="12"/>
    </row>
    <row r="540" spans="2:4" ht="15.75">
      <c r="B540" s="411" t="s">
        <v>2631</v>
      </c>
      <c r="C540" s="506" t="s">
        <v>2632</v>
      </c>
      <c r="D540" s="12"/>
    </row>
    <row r="541" spans="2:4" ht="15.75">
      <c r="B541" s="464" t="s">
        <v>2274</v>
      </c>
      <c r="C541" s="488" t="s">
        <v>2275</v>
      </c>
      <c r="D541" s="12"/>
    </row>
    <row r="542" spans="2:4" ht="15.75">
      <c r="B542" s="1338" t="s">
        <v>4107</v>
      </c>
      <c r="C542" s="1338" t="s">
        <v>4108</v>
      </c>
      <c r="D542" s="12"/>
    </row>
    <row r="543" spans="2:4" ht="15.75">
      <c r="B543" s="1808" t="s">
        <v>3014</v>
      </c>
      <c r="C543" s="627" t="s">
        <v>3015</v>
      </c>
      <c r="D543" s="12"/>
    </row>
    <row r="544" spans="2:4" ht="15.75">
      <c r="B544" s="1795" t="s">
        <v>3016</v>
      </c>
      <c r="C544" s="610" t="s">
        <v>3017</v>
      </c>
      <c r="D544" s="12"/>
    </row>
    <row r="545" spans="2:4" ht="15.75">
      <c r="B545" s="464" t="s">
        <v>2768</v>
      </c>
      <c r="C545" s="476" t="s">
        <v>2769</v>
      </c>
      <c r="D545" s="12"/>
    </row>
    <row r="546" spans="2:4" ht="15.75">
      <c r="B546" s="1795" t="s">
        <v>3007</v>
      </c>
      <c r="C546" s="1712" t="s">
        <v>2769</v>
      </c>
      <c r="D546" s="12"/>
    </row>
    <row r="547" spans="2:4" ht="15.75">
      <c r="B547" s="464" t="s">
        <v>3086</v>
      </c>
      <c r="C547" s="485" t="s">
        <v>3087</v>
      </c>
      <c r="D547" s="12"/>
    </row>
    <row r="548" spans="2:4" ht="15.75">
      <c r="B548" s="464" t="s">
        <v>3088</v>
      </c>
      <c r="C548" s="485" t="s">
        <v>3089</v>
      </c>
      <c r="D548" s="12"/>
    </row>
    <row r="549" spans="2:4" ht="15.75">
      <c r="B549" s="464" t="s">
        <v>3090</v>
      </c>
      <c r="C549" s="1719" t="s">
        <v>3091</v>
      </c>
      <c r="D549" s="12"/>
    </row>
    <row r="550" spans="2:4" ht="15.75">
      <c r="B550" s="562" t="s">
        <v>2942</v>
      </c>
      <c r="C550" s="567" t="s">
        <v>2943</v>
      </c>
      <c r="D550" s="12"/>
    </row>
    <row r="551" spans="2:4" ht="15.75">
      <c r="B551" s="464" t="s">
        <v>2065</v>
      </c>
      <c r="C551" s="485" t="s">
        <v>2066</v>
      </c>
      <c r="D551" s="12"/>
    </row>
    <row r="552" spans="2:4" ht="15.75">
      <c r="B552" s="562" t="s">
        <v>2944</v>
      </c>
      <c r="C552" s="565" t="s">
        <v>2068</v>
      </c>
      <c r="D552" s="12"/>
    </row>
    <row r="553" spans="2:4" ht="15.75">
      <c r="B553" s="464" t="s">
        <v>2067</v>
      </c>
      <c r="C553" s="485" t="s">
        <v>2068</v>
      </c>
      <c r="D553" s="12"/>
    </row>
    <row r="554" spans="2:4" ht="15.75">
      <c r="B554" s="464" t="s">
        <v>2847</v>
      </c>
      <c r="C554" s="485" t="s">
        <v>2848</v>
      </c>
      <c r="D554" s="12"/>
    </row>
    <row r="555" spans="2:4" ht="15.75">
      <c r="B555" s="1809" t="s">
        <v>2849</v>
      </c>
      <c r="C555" s="552" t="s">
        <v>2850</v>
      </c>
      <c r="D555" s="12"/>
    </row>
    <row r="556" spans="2:4" ht="15.75">
      <c r="B556" s="562" t="s">
        <v>2896</v>
      </c>
      <c r="C556" s="567" t="s">
        <v>2897</v>
      </c>
      <c r="D556" s="12"/>
    </row>
    <row r="557" spans="2:4" ht="15.75">
      <c r="B557" s="562" t="s">
        <v>2898</v>
      </c>
      <c r="C557" s="567" t="s">
        <v>2899</v>
      </c>
      <c r="D557" s="12"/>
    </row>
    <row r="558" spans="2:4" ht="15.75">
      <c r="B558" s="464" t="s">
        <v>2071</v>
      </c>
      <c r="C558" s="407" t="s">
        <v>2072</v>
      </c>
      <c r="D558" s="12"/>
    </row>
    <row r="559" spans="2:4" ht="15.75">
      <c r="B559" s="562" t="s">
        <v>2900</v>
      </c>
      <c r="C559" s="567" t="s">
        <v>2074</v>
      </c>
      <c r="D559" s="12"/>
    </row>
    <row r="560" spans="2:4" ht="16.5" thickBot="1">
      <c r="B560" s="464" t="s">
        <v>2073</v>
      </c>
      <c r="C560" s="407" t="s">
        <v>2074</v>
      </c>
      <c r="D560" s="12"/>
    </row>
    <row r="561" spans="2:4" ht="16.5" thickBot="1">
      <c r="B561" s="464" t="s">
        <v>2953</v>
      </c>
      <c r="C561" s="1725" t="s">
        <v>2954</v>
      </c>
      <c r="D561" s="12"/>
    </row>
    <row r="562" spans="2:4" ht="15.75">
      <c r="B562" s="464" t="s">
        <v>2770</v>
      </c>
      <c r="C562" s="558" t="s">
        <v>2771</v>
      </c>
      <c r="D562" s="12"/>
    </row>
    <row r="563" spans="2:4" ht="15.75">
      <c r="B563" s="1267" t="s">
        <v>3996</v>
      </c>
      <c r="C563" s="1264" t="s">
        <v>3257</v>
      </c>
      <c r="D563" s="12"/>
    </row>
    <row r="564" spans="2:4" ht="15.75">
      <c r="B564" s="464" t="s">
        <v>3256</v>
      </c>
      <c r="C564" s="407" t="s">
        <v>3257</v>
      </c>
      <c r="D564" s="12"/>
    </row>
    <row r="565" spans="2:4" ht="15.75">
      <c r="B565" s="464" t="s">
        <v>3258</v>
      </c>
      <c r="C565" s="416" t="s">
        <v>3259</v>
      </c>
      <c r="D565" s="12"/>
    </row>
    <row r="566" spans="2:4" ht="15.75">
      <c r="B566" s="464" t="s">
        <v>2353</v>
      </c>
      <c r="C566" s="416" t="s">
        <v>2354</v>
      </c>
      <c r="D566" s="12"/>
    </row>
    <row r="567" spans="2:4" ht="15.75">
      <c r="B567" s="464" t="s">
        <v>2355</v>
      </c>
      <c r="C567" s="416" t="s">
        <v>2356</v>
      </c>
      <c r="D567" s="12"/>
    </row>
    <row r="568" spans="2:4" ht="15.75">
      <c r="B568" s="464" t="s">
        <v>2357</v>
      </c>
      <c r="C568" s="407" t="s">
        <v>2358</v>
      </c>
      <c r="D568" s="12"/>
    </row>
    <row r="569" spans="2:4" ht="15.75">
      <c r="B569" s="464" t="s">
        <v>2332</v>
      </c>
      <c r="C569" s="407" t="s">
        <v>2333</v>
      </c>
      <c r="D569" s="12"/>
    </row>
    <row r="570" spans="2:4" ht="15.75">
      <c r="B570" s="464" t="s">
        <v>2334</v>
      </c>
      <c r="C570" s="406" t="s">
        <v>2335</v>
      </c>
      <c r="D570" s="12"/>
    </row>
    <row r="571" spans="2:4" ht="15.75">
      <c r="B571" s="464" t="s">
        <v>2772</v>
      </c>
      <c r="C571" s="579" t="s">
        <v>2360</v>
      </c>
      <c r="D571" s="12"/>
    </row>
    <row r="572" spans="2:4" ht="15.75">
      <c r="B572" s="464" t="s">
        <v>2359</v>
      </c>
      <c r="C572" s="485" t="s">
        <v>2360</v>
      </c>
      <c r="D572" s="12"/>
    </row>
    <row r="573" spans="2:4" ht="15.75">
      <c r="B573" s="464" t="s">
        <v>2336</v>
      </c>
      <c r="C573" s="485" t="s">
        <v>2337</v>
      </c>
      <c r="D573" s="12"/>
    </row>
    <row r="574" spans="2:4" ht="31.5">
      <c r="B574" s="464" t="s">
        <v>2338</v>
      </c>
      <c r="C574" s="485" t="s">
        <v>2339</v>
      </c>
      <c r="D574" s="12"/>
    </row>
    <row r="575" spans="2:4" ht="15.75">
      <c r="B575" s="464" t="s">
        <v>2042</v>
      </c>
      <c r="C575" s="1719" t="s">
        <v>2043</v>
      </c>
      <c r="D575" s="12"/>
    </row>
    <row r="576" spans="2:4" ht="15.75">
      <c r="B576" s="464" t="s">
        <v>2044</v>
      </c>
      <c r="C576" s="579" t="s">
        <v>2045</v>
      </c>
      <c r="D576" s="12"/>
    </row>
    <row r="577" spans="2:4" ht="15.75">
      <c r="B577" s="464" t="s">
        <v>2046</v>
      </c>
      <c r="C577" s="485" t="s">
        <v>2047</v>
      </c>
      <c r="D577" s="12"/>
    </row>
    <row r="578" spans="2:4" ht="15.75">
      <c r="B578" s="464" t="s">
        <v>2773</v>
      </c>
      <c r="C578" s="485" t="s">
        <v>2774</v>
      </c>
      <c r="D578" s="12"/>
    </row>
    <row r="579" spans="2:4" ht="15.75">
      <c r="B579" s="464" t="s">
        <v>2775</v>
      </c>
      <c r="C579" s="485" t="s">
        <v>2776</v>
      </c>
      <c r="D579" s="12"/>
    </row>
    <row r="580" spans="2:4" ht="15.75">
      <c r="B580" s="464" t="s">
        <v>2777</v>
      </c>
      <c r="C580" s="485" t="s">
        <v>2778</v>
      </c>
      <c r="D580" s="12"/>
    </row>
    <row r="581" spans="2:4" ht="15.75">
      <c r="B581" s="464" t="s">
        <v>2835</v>
      </c>
      <c r="C581" s="485" t="s">
        <v>2836</v>
      </c>
      <c r="D581" s="12"/>
    </row>
    <row r="582" spans="2:4" ht="15.75">
      <c r="B582" s="464" t="s">
        <v>2076</v>
      </c>
      <c r="C582" s="485" t="s">
        <v>2077</v>
      </c>
      <c r="D582" s="12"/>
    </row>
    <row r="583" spans="2:4" ht="15.75">
      <c r="B583" s="464" t="s">
        <v>2048</v>
      </c>
      <c r="C583" s="485" t="s">
        <v>2049</v>
      </c>
      <c r="D583" s="12"/>
    </row>
    <row r="584" spans="2:4" ht="15.75">
      <c r="B584" s="464" t="s">
        <v>2779</v>
      </c>
      <c r="C584" s="485" t="s">
        <v>2780</v>
      </c>
      <c r="D584" s="12"/>
    </row>
    <row r="585" spans="2:4" ht="15.75">
      <c r="B585" s="464" t="s">
        <v>2361</v>
      </c>
      <c r="C585" s="485" t="s">
        <v>2362</v>
      </c>
      <c r="D585" s="12"/>
    </row>
    <row r="586" spans="2:4" ht="15.75">
      <c r="B586" s="464" t="s">
        <v>2641</v>
      </c>
      <c r="C586" s="485" t="s">
        <v>2362</v>
      </c>
      <c r="D586" s="12"/>
    </row>
    <row r="587" spans="2:4" ht="15.75">
      <c r="B587" s="464" t="s">
        <v>2781</v>
      </c>
      <c r="C587" s="485" t="s">
        <v>2782</v>
      </c>
      <c r="D587" s="12"/>
    </row>
    <row r="588" spans="2:4" ht="15.75">
      <c r="B588" s="464" t="s">
        <v>2783</v>
      </c>
      <c r="C588" s="485" t="s">
        <v>2784</v>
      </c>
      <c r="D588" s="12"/>
    </row>
    <row r="589" spans="2:4" ht="15.75">
      <c r="B589" s="464" t="s">
        <v>2050</v>
      </c>
      <c r="C589" s="485" t="s">
        <v>2051</v>
      </c>
      <c r="D589" s="12"/>
    </row>
    <row r="590" spans="2:4" ht="15.75">
      <c r="B590" s="464" t="s">
        <v>2078</v>
      </c>
      <c r="C590" s="485" t="s">
        <v>2340</v>
      </c>
      <c r="D590" s="12"/>
    </row>
    <row r="591" spans="2:4" ht="15.75">
      <c r="B591" s="464" t="s">
        <v>2785</v>
      </c>
      <c r="C591" s="485" t="s">
        <v>2786</v>
      </c>
      <c r="D591" s="12"/>
    </row>
    <row r="592" spans="2:4" ht="15.75">
      <c r="B592" s="464" t="s">
        <v>2276</v>
      </c>
      <c r="C592" s="484" t="s">
        <v>2277</v>
      </c>
      <c r="D592" s="12"/>
    </row>
    <row r="593" spans="2:4" ht="15.75">
      <c r="B593" s="562" t="s">
        <v>2901</v>
      </c>
      <c r="C593" s="565" t="s">
        <v>2902</v>
      </c>
      <c r="D593" s="12"/>
    </row>
    <row r="594" spans="2:4" ht="15.75">
      <c r="B594" s="562" t="s">
        <v>2903</v>
      </c>
      <c r="C594" s="571" t="s">
        <v>2904</v>
      </c>
      <c r="D594" s="12"/>
    </row>
    <row r="595" spans="2:4" ht="15.75">
      <c r="B595" s="562" t="s">
        <v>2905</v>
      </c>
      <c r="C595" s="567" t="s">
        <v>2906</v>
      </c>
      <c r="D595" s="12"/>
    </row>
    <row r="596" spans="2:4" ht="15.75">
      <c r="B596" s="464" t="s">
        <v>2080</v>
      </c>
      <c r="C596" s="406" t="s">
        <v>2081</v>
      </c>
      <c r="D596" s="12"/>
    </row>
    <row r="597" spans="2:4" ht="15.75">
      <c r="B597" s="464" t="s">
        <v>2082</v>
      </c>
      <c r="C597" s="407" t="s">
        <v>2083</v>
      </c>
      <c r="D597" s="12"/>
    </row>
    <row r="598" spans="2:4" ht="15.75">
      <c r="B598" s="562" t="s">
        <v>2907</v>
      </c>
      <c r="C598" s="567" t="s">
        <v>2908</v>
      </c>
      <c r="D598" s="12"/>
    </row>
    <row r="599" spans="2:4" ht="15.75">
      <c r="B599" s="562" t="s">
        <v>2909</v>
      </c>
      <c r="C599" s="1744" t="s">
        <v>2910</v>
      </c>
      <c r="D599" s="12"/>
    </row>
    <row r="600" spans="2:4" ht="15.75">
      <c r="B600" s="562" t="s">
        <v>2911</v>
      </c>
      <c r="C600" s="562" t="s">
        <v>2912</v>
      </c>
      <c r="D600" s="12"/>
    </row>
    <row r="601" spans="2:4" s="281" customFormat="1" ht="15.75">
      <c r="B601" s="562" t="s">
        <v>2913</v>
      </c>
      <c r="C601" s="563" t="s">
        <v>2914</v>
      </c>
      <c r="D601" s="12"/>
    </row>
    <row r="602" spans="2:4" s="281" customFormat="1" ht="15.75">
      <c r="B602" s="562" t="s">
        <v>2915</v>
      </c>
      <c r="C602" s="565" t="s">
        <v>2916</v>
      </c>
      <c r="D602" s="12"/>
    </row>
    <row r="603" spans="2:4" s="281" customFormat="1" ht="15.75">
      <c r="B603" s="562" t="s">
        <v>2917</v>
      </c>
      <c r="C603" s="565" t="s">
        <v>2918</v>
      </c>
      <c r="D603" s="12"/>
    </row>
    <row r="604" spans="2:4" s="281" customFormat="1" ht="15.75">
      <c r="B604" s="562" t="s">
        <v>2919</v>
      </c>
      <c r="C604" s="565" t="s">
        <v>2920</v>
      </c>
      <c r="D604" s="12"/>
    </row>
    <row r="605" spans="2:4" s="281" customFormat="1" ht="15.75">
      <c r="B605" s="568" t="s">
        <v>2921</v>
      </c>
      <c r="C605" s="569" t="s">
        <v>2922</v>
      </c>
      <c r="D605" s="12"/>
    </row>
    <row r="606" spans="2:4" s="281" customFormat="1" ht="15.75">
      <c r="B606" s="562" t="s">
        <v>2923</v>
      </c>
      <c r="C606" s="565" t="s">
        <v>2924</v>
      </c>
      <c r="D606" s="12"/>
    </row>
    <row r="607" spans="2:4" s="281" customFormat="1" ht="15.75">
      <c r="B607" s="562" t="s">
        <v>2925</v>
      </c>
      <c r="C607" s="565" t="s">
        <v>2926</v>
      </c>
      <c r="D607" s="12"/>
    </row>
    <row r="608" spans="2:4" s="281" customFormat="1" ht="15.75">
      <c r="B608" s="562" t="s">
        <v>2927</v>
      </c>
      <c r="C608" s="565" t="s">
        <v>2928</v>
      </c>
      <c r="D608" s="12"/>
    </row>
    <row r="609" spans="2:4" s="281" customFormat="1" ht="15.75">
      <c r="B609" s="562" t="s">
        <v>2929</v>
      </c>
      <c r="C609" s="565" t="s">
        <v>2930</v>
      </c>
      <c r="D609" s="12"/>
    </row>
    <row r="610" spans="2:4" s="281" customFormat="1" ht="15.75">
      <c r="B610" s="562" t="s">
        <v>2931</v>
      </c>
      <c r="C610" s="565" t="s">
        <v>2932</v>
      </c>
      <c r="D610" s="12"/>
    </row>
    <row r="611" spans="2:4" ht="15.75">
      <c r="B611" s="562" t="s">
        <v>2933</v>
      </c>
      <c r="C611" s="565" t="s">
        <v>2934</v>
      </c>
      <c r="D611" s="12"/>
    </row>
    <row r="612" spans="2:4" ht="15.75">
      <c r="B612" s="562" t="s">
        <v>2935</v>
      </c>
      <c r="C612" s="565" t="s">
        <v>2936</v>
      </c>
      <c r="D612" s="12"/>
    </row>
    <row r="613" spans="2:4" ht="15.75">
      <c r="B613" s="562" t="s">
        <v>2937</v>
      </c>
      <c r="C613" s="565" t="s">
        <v>2938</v>
      </c>
      <c r="D613" s="12"/>
    </row>
    <row r="614" spans="2:4" ht="15.75">
      <c r="B614" s="562" t="s">
        <v>2939</v>
      </c>
      <c r="C614" s="565" t="s">
        <v>2940</v>
      </c>
      <c r="D614" s="12"/>
    </row>
    <row r="615" spans="2:4" ht="15.75">
      <c r="B615" s="464" t="s">
        <v>2955</v>
      </c>
      <c r="C615" s="485" t="s">
        <v>2956</v>
      </c>
      <c r="D615" s="12"/>
    </row>
    <row r="616" spans="2:4" ht="15.75">
      <c r="B616" s="1795" t="s">
        <v>3101</v>
      </c>
      <c r="C616" s="1712" t="s">
        <v>3102</v>
      </c>
      <c r="D616" s="12"/>
    </row>
    <row r="617" spans="2:4" ht="15.75">
      <c r="B617" s="464" t="s">
        <v>3219</v>
      </c>
      <c r="C617" s="1722" t="s">
        <v>3220</v>
      </c>
      <c r="D617" s="12"/>
    </row>
    <row r="618" spans="2:4" ht="15.75">
      <c r="B618" s="464" t="s">
        <v>3221</v>
      </c>
      <c r="C618" s="1722" t="s">
        <v>3222</v>
      </c>
      <c r="D618" s="12"/>
    </row>
    <row r="619" spans="2:4" ht="15.75">
      <c r="B619" s="464" t="s">
        <v>3223</v>
      </c>
      <c r="C619" s="1722" t="s">
        <v>3224</v>
      </c>
      <c r="D619" s="12"/>
    </row>
    <row r="620" spans="2:4" ht="15.75">
      <c r="B620" s="464" t="s">
        <v>3225</v>
      </c>
      <c r="C620" s="1722" t="s">
        <v>3226</v>
      </c>
      <c r="D620" s="12"/>
    </row>
    <row r="621" spans="2:4" ht="15.75">
      <c r="B621" s="464" t="s">
        <v>2787</v>
      </c>
      <c r="C621" s="485" t="s">
        <v>2788</v>
      </c>
      <c r="D621" s="12"/>
    </row>
    <row r="622" spans="2:4" ht="15.75">
      <c r="B622" s="464" t="s">
        <v>2789</v>
      </c>
      <c r="C622" s="485" t="s">
        <v>2790</v>
      </c>
      <c r="D622" s="12"/>
    </row>
    <row r="623" spans="2:4" ht="31.5">
      <c r="B623" s="1795" t="s">
        <v>3143</v>
      </c>
      <c r="C623" s="1712" t="s">
        <v>3144</v>
      </c>
      <c r="D623" s="12"/>
    </row>
    <row r="624" spans="2:4" ht="31.5">
      <c r="B624" s="464" t="s">
        <v>3184</v>
      </c>
      <c r="C624" s="485" t="s">
        <v>3144</v>
      </c>
      <c r="D624" s="12"/>
    </row>
    <row r="625" spans="2:4" ht="15.75">
      <c r="B625" s="1795" t="s">
        <v>3145</v>
      </c>
      <c r="C625" s="1712" t="s">
        <v>3146</v>
      </c>
      <c r="D625" s="12"/>
    </row>
    <row r="626" spans="2:4" ht="15.75">
      <c r="B626" s="464" t="s">
        <v>3185</v>
      </c>
      <c r="C626" s="485" t="s">
        <v>3146</v>
      </c>
      <c r="D626" s="12"/>
    </row>
    <row r="627" spans="2:4" ht="15.75">
      <c r="B627" s="1795" t="s">
        <v>3147</v>
      </c>
      <c r="C627" s="1712" t="s">
        <v>3148</v>
      </c>
      <c r="D627" s="12"/>
    </row>
    <row r="628" spans="2:4" ht="15.75">
      <c r="B628" s="464" t="s">
        <v>2957</v>
      </c>
      <c r="C628" s="431" t="s">
        <v>2958</v>
      </c>
      <c r="D628" s="12"/>
    </row>
    <row r="629" spans="2:4" ht="15.75">
      <c r="B629" s="1803" t="s">
        <v>3018</v>
      </c>
      <c r="C629" s="674" t="s">
        <v>3019</v>
      </c>
      <c r="D629" s="12"/>
    </row>
    <row r="630" spans="2:4" ht="15.75">
      <c r="B630" s="1795" t="s">
        <v>3020</v>
      </c>
      <c r="C630" s="590" t="s">
        <v>3021</v>
      </c>
      <c r="D630" s="12"/>
    </row>
    <row r="631" spans="2:4" ht="15.75">
      <c r="B631" s="1795" t="s">
        <v>3022</v>
      </c>
      <c r="C631" s="1740" t="s">
        <v>3023</v>
      </c>
      <c r="D631" s="12"/>
    </row>
    <row r="632" spans="2:4" ht="15.75">
      <c r="B632" s="1795" t="s">
        <v>3024</v>
      </c>
      <c r="C632" s="590" t="s">
        <v>3025</v>
      </c>
      <c r="D632" s="12"/>
    </row>
    <row r="633" spans="2:4" ht="15.75">
      <c r="B633" s="1771" t="s">
        <v>2959</v>
      </c>
      <c r="C633" s="1756" t="s">
        <v>2960</v>
      </c>
      <c r="D633" s="12"/>
    </row>
    <row r="634" spans="2:4" ht="15.75">
      <c r="B634" s="464" t="s">
        <v>2791</v>
      </c>
      <c r="C634" s="416" t="s">
        <v>2792</v>
      </c>
      <c r="D634" s="12"/>
    </row>
    <row r="635" spans="2:4" ht="15.75">
      <c r="B635" s="464" t="s">
        <v>2851</v>
      </c>
      <c r="C635" s="486" t="s">
        <v>2852</v>
      </c>
      <c r="D635" s="12"/>
    </row>
    <row r="636" spans="2:4" ht="31.5">
      <c r="B636" s="464" t="s">
        <v>3092</v>
      </c>
      <c r="C636" s="1088" t="s">
        <v>3093</v>
      </c>
      <c r="D636" s="12"/>
    </row>
    <row r="637" spans="2:4" ht="31.5">
      <c r="B637" s="464" t="s">
        <v>3227</v>
      </c>
      <c r="C637" s="1755" t="s">
        <v>3228</v>
      </c>
      <c r="D637" s="12"/>
    </row>
    <row r="638" spans="2:4" ht="31.5">
      <c r="B638" s="1795" t="s">
        <v>2987</v>
      </c>
      <c r="C638" s="1757" t="s">
        <v>2988</v>
      </c>
      <c r="D638" s="12"/>
    </row>
    <row r="639" spans="2:4" ht="31.5">
      <c r="B639" s="464" t="s">
        <v>2365</v>
      </c>
      <c r="C639" s="416" t="s">
        <v>2793</v>
      </c>
      <c r="D639" s="12"/>
    </row>
    <row r="640" spans="2:4" ht="31.5">
      <c r="B640" s="464" t="s">
        <v>2367</v>
      </c>
      <c r="C640" s="416" t="s">
        <v>2368</v>
      </c>
      <c r="D640" s="12"/>
    </row>
    <row r="641" spans="2:4" ht="15.75">
      <c r="B641" s="1810" t="s">
        <v>2989</v>
      </c>
      <c r="C641" s="918" t="s">
        <v>2990</v>
      </c>
      <c r="D641" s="12"/>
    </row>
    <row r="642" spans="2:4" ht="31.5">
      <c r="B642" s="464" t="s">
        <v>2853</v>
      </c>
      <c r="C642" s="406" t="s">
        <v>2854</v>
      </c>
      <c r="D642" s="12"/>
    </row>
    <row r="643" spans="2:4" ht="15.75">
      <c r="B643" s="464" t="s">
        <v>2369</v>
      </c>
      <c r="C643" s="486" t="s">
        <v>2370</v>
      </c>
      <c r="D643" s="12"/>
    </row>
    <row r="644" spans="2:4" ht="15.75">
      <c r="B644" s="464" t="s">
        <v>2794</v>
      </c>
      <c r="C644" s="406" t="s">
        <v>2795</v>
      </c>
      <c r="D644" s="12"/>
    </row>
    <row r="645" spans="2:4" ht="31.5">
      <c r="B645" s="464" t="s">
        <v>2855</v>
      </c>
      <c r="C645" s="406" t="s">
        <v>2856</v>
      </c>
      <c r="D645" s="12"/>
    </row>
    <row r="646" spans="2:4" s="281" customFormat="1" ht="31.5">
      <c r="B646" s="464" t="s">
        <v>2796</v>
      </c>
      <c r="C646" s="406" t="s">
        <v>2797</v>
      </c>
      <c r="D646" s="12"/>
    </row>
    <row r="647" spans="2:4" ht="15.75">
      <c r="B647" s="464" t="s">
        <v>2798</v>
      </c>
      <c r="C647" s="406" t="s">
        <v>2799</v>
      </c>
      <c r="D647" s="12"/>
    </row>
    <row r="648" spans="2:4" ht="15.75">
      <c r="B648" s="464" t="s">
        <v>3130</v>
      </c>
      <c r="C648" s="406" t="s">
        <v>3131</v>
      </c>
      <c r="D648" s="12"/>
    </row>
    <row r="649" spans="2:4" ht="15.75">
      <c r="B649" s="464" t="s">
        <v>2373</v>
      </c>
      <c r="C649" s="416" t="s">
        <v>2374</v>
      </c>
      <c r="D649" s="12"/>
    </row>
    <row r="650" spans="2:4" ht="15.75">
      <c r="B650" s="464" t="s">
        <v>3186</v>
      </c>
      <c r="C650" s="416" t="s">
        <v>3187</v>
      </c>
      <c r="D650" s="12"/>
    </row>
    <row r="651" spans="2:4" ht="15.75">
      <c r="B651" s="464" t="s">
        <v>3188</v>
      </c>
      <c r="C651" s="406" t="s">
        <v>3189</v>
      </c>
      <c r="D651" s="12"/>
    </row>
    <row r="652" spans="2:4" ht="15.75">
      <c r="B652" s="1803" t="s">
        <v>3190</v>
      </c>
      <c r="C652" s="638" t="s">
        <v>3191</v>
      </c>
      <c r="D652" s="12"/>
    </row>
    <row r="653" spans="2:4" ht="15.75">
      <c r="B653" s="1803" t="s">
        <v>3192</v>
      </c>
      <c r="C653" s="638" t="s">
        <v>3193</v>
      </c>
      <c r="D653" s="12"/>
    </row>
    <row r="654" spans="2:4" ht="15.75">
      <c r="B654" s="1803" t="s">
        <v>3194</v>
      </c>
      <c r="C654" s="638" t="s">
        <v>3195</v>
      </c>
      <c r="D654" s="12"/>
    </row>
    <row r="655" spans="2:4" ht="15.75">
      <c r="B655" s="1803" t="s">
        <v>3196</v>
      </c>
      <c r="C655" s="638" t="s">
        <v>3197</v>
      </c>
      <c r="D655" s="12"/>
    </row>
    <row r="656" spans="2:4" ht="15.75">
      <c r="B656" s="1803" t="s">
        <v>3198</v>
      </c>
      <c r="C656" s="638" t="s">
        <v>3199</v>
      </c>
      <c r="D656" s="12"/>
    </row>
    <row r="657" spans="2:4" ht="15.75">
      <c r="B657" s="1803" t="s">
        <v>3200</v>
      </c>
      <c r="C657" s="1710" t="s">
        <v>3201</v>
      </c>
      <c r="D657" s="12"/>
    </row>
    <row r="658" spans="2:4" ht="15.75">
      <c r="B658" s="1803" t="s">
        <v>3202</v>
      </c>
      <c r="C658" s="594" t="s">
        <v>3203</v>
      </c>
      <c r="D658" s="12"/>
    </row>
    <row r="659" spans="2:4" ht="15.75">
      <c r="B659" s="1803" t="s">
        <v>3204</v>
      </c>
      <c r="C659" s="918" t="s">
        <v>3205</v>
      </c>
      <c r="D659" s="12"/>
    </row>
    <row r="660" spans="2:4" ht="15.75">
      <c r="B660" s="1803" t="s">
        <v>3206</v>
      </c>
      <c r="C660" s="599" t="s">
        <v>3207</v>
      </c>
      <c r="D660" s="12"/>
    </row>
    <row r="661" spans="2:4" ht="31.5">
      <c r="B661" s="1803" t="s">
        <v>3208</v>
      </c>
      <c r="C661" s="594" t="s">
        <v>3209</v>
      </c>
      <c r="D661" s="12"/>
    </row>
    <row r="662" spans="2:4" ht="31.5">
      <c r="B662" s="1803" t="s">
        <v>3210</v>
      </c>
      <c r="C662" s="594" t="s">
        <v>3211</v>
      </c>
      <c r="D662" s="12"/>
    </row>
    <row r="663" spans="2:4" ht="31.5">
      <c r="B663" s="464" t="s">
        <v>3212</v>
      </c>
      <c r="C663" s="416" t="s">
        <v>3213</v>
      </c>
      <c r="D663" s="12"/>
    </row>
    <row r="664" spans="2:4" ht="15.75">
      <c r="B664" s="464" t="s">
        <v>3229</v>
      </c>
      <c r="C664" s="677" t="s">
        <v>3230</v>
      </c>
      <c r="D664" s="12"/>
    </row>
    <row r="665" spans="2:4" ht="15.75">
      <c r="B665" s="464" t="s">
        <v>3231</v>
      </c>
      <c r="C665" s="677" t="s">
        <v>3232</v>
      </c>
      <c r="D665" s="12"/>
    </row>
    <row r="666" spans="2:4" ht="15.75">
      <c r="B666" s="464" t="s">
        <v>3233</v>
      </c>
      <c r="C666" s="1715" t="s">
        <v>3234</v>
      </c>
      <c r="D666" s="12"/>
    </row>
    <row r="667" spans="2:4" s="281" customFormat="1" ht="15.75">
      <c r="B667" s="464" t="s">
        <v>3235</v>
      </c>
      <c r="C667" s="677" t="s">
        <v>3236</v>
      </c>
      <c r="D667" s="12"/>
    </row>
    <row r="668" spans="2:4" ht="15.75">
      <c r="B668" s="464" t="s">
        <v>3214</v>
      </c>
      <c r="C668" s="416" t="s">
        <v>3215</v>
      </c>
      <c r="D668" s="12"/>
    </row>
    <row r="669" spans="2:4" ht="15.75">
      <c r="B669" s="1746" t="s">
        <v>2800</v>
      </c>
      <c r="C669" s="413" t="s">
        <v>2801</v>
      </c>
      <c r="D669" s="12"/>
    </row>
    <row r="670" spans="2:4" ht="15.75">
      <c r="B670" s="1811" t="s">
        <v>3008</v>
      </c>
      <c r="C670" s="611" t="s">
        <v>3009</v>
      </c>
      <c r="D670" s="12"/>
    </row>
    <row r="671" spans="2:4" ht="15.75">
      <c r="B671" s="1746" t="s">
        <v>2857</v>
      </c>
      <c r="C671" s="413" t="s">
        <v>2858</v>
      </c>
      <c r="D671" s="12"/>
    </row>
    <row r="672" spans="2:4" ht="15.75">
      <c r="B672" s="1746" t="s">
        <v>2084</v>
      </c>
      <c r="C672" s="413" t="s">
        <v>2085</v>
      </c>
      <c r="D672" s="12"/>
    </row>
    <row r="673" spans="2:4" ht="15.75">
      <c r="B673" s="1746" t="s">
        <v>3216</v>
      </c>
      <c r="C673" s="413" t="s">
        <v>2803</v>
      </c>
      <c r="D673" s="12"/>
    </row>
    <row r="674" spans="2:4" ht="15.75">
      <c r="B674" s="1746" t="s">
        <v>2802</v>
      </c>
      <c r="C674" s="413" t="s">
        <v>2803</v>
      </c>
      <c r="D674" s="12"/>
    </row>
    <row r="675" spans="2:4" ht="15.75">
      <c r="B675" s="1746" t="s">
        <v>2086</v>
      </c>
      <c r="C675" s="413" t="s">
        <v>2087</v>
      </c>
      <c r="D675" s="12"/>
    </row>
    <row r="676" spans="2:4" ht="31.5">
      <c r="B676" s="1746" t="s">
        <v>2088</v>
      </c>
      <c r="C676" s="413" t="s">
        <v>2089</v>
      </c>
      <c r="D676" s="12"/>
    </row>
    <row r="677" spans="2:4" ht="31.5">
      <c r="B677" s="1746" t="s">
        <v>2090</v>
      </c>
      <c r="C677" s="413" t="s">
        <v>2091</v>
      </c>
      <c r="D677" s="12"/>
    </row>
    <row r="678" spans="2:4" ht="15.75">
      <c r="B678" s="464" t="s">
        <v>2092</v>
      </c>
      <c r="C678" s="416" t="s">
        <v>2093</v>
      </c>
      <c r="D678" s="12"/>
    </row>
    <row r="679" spans="2:4" ht="15.75">
      <c r="B679" s="464" t="s">
        <v>2962</v>
      </c>
      <c r="C679" s="406" t="s">
        <v>2963</v>
      </c>
      <c r="D679" s="12"/>
    </row>
    <row r="680" spans="2:4" ht="31.5">
      <c r="B680" s="464" t="s">
        <v>2094</v>
      </c>
      <c r="C680" s="406" t="s">
        <v>2095</v>
      </c>
      <c r="D680" s="12"/>
    </row>
    <row r="681" spans="2:4" ht="31.5">
      <c r="B681" s="464" t="s">
        <v>2096</v>
      </c>
      <c r="C681" s="406" t="s">
        <v>2097</v>
      </c>
      <c r="D681" s="12"/>
    </row>
    <row r="682" spans="2:4" ht="15.75">
      <c r="B682" s="464" t="s">
        <v>2098</v>
      </c>
      <c r="C682" s="416" t="s">
        <v>2099</v>
      </c>
      <c r="D682" s="12"/>
    </row>
    <row r="683" spans="2:4" ht="15.75">
      <c r="B683" s="464" t="s">
        <v>2964</v>
      </c>
      <c r="C683" s="416" t="s">
        <v>2965</v>
      </c>
      <c r="D683" s="12"/>
    </row>
    <row r="684" spans="2:4" ht="31.5">
      <c r="B684" s="464" t="s">
        <v>2100</v>
      </c>
      <c r="C684" s="416" t="s">
        <v>2101</v>
      </c>
      <c r="D684" s="12"/>
    </row>
    <row r="685" spans="2:4" ht="15.75">
      <c r="B685" s="464" t="s">
        <v>2102</v>
      </c>
      <c r="C685" s="486" t="s">
        <v>2103</v>
      </c>
      <c r="D685" s="12"/>
    </row>
    <row r="686" spans="2:4" ht="31.5">
      <c r="B686" s="464" t="s">
        <v>2104</v>
      </c>
      <c r="C686" s="1088" t="s">
        <v>2105</v>
      </c>
      <c r="D686" s="12"/>
    </row>
    <row r="687" spans="2:4" ht="31.5">
      <c r="B687" s="1746" t="s">
        <v>2106</v>
      </c>
      <c r="C687" s="413" t="s">
        <v>2107</v>
      </c>
      <c r="D687" s="12"/>
    </row>
    <row r="688" spans="2:4" ht="15.75">
      <c r="B688" s="464" t="s">
        <v>2966</v>
      </c>
      <c r="C688" s="432" t="s">
        <v>2967</v>
      </c>
      <c r="D688" s="12"/>
    </row>
    <row r="689" spans="2:4" ht="31.5">
      <c r="B689" s="464" t="s">
        <v>2804</v>
      </c>
      <c r="C689" s="406" t="s">
        <v>2805</v>
      </c>
      <c r="D689" s="12"/>
    </row>
    <row r="690" spans="2:4" ht="15.75">
      <c r="B690" s="464" t="s">
        <v>2969</v>
      </c>
      <c r="C690" s="1088" t="s">
        <v>2970</v>
      </c>
      <c r="D690" s="12"/>
    </row>
    <row r="691" spans="2:4" ht="15.75">
      <c r="B691" s="464" t="s">
        <v>2860</v>
      </c>
      <c r="C691" s="1088" t="s">
        <v>2861</v>
      </c>
      <c r="D691" s="12"/>
    </row>
    <row r="692" spans="2:4" ht="31.5">
      <c r="B692" s="464" t="s">
        <v>2108</v>
      </c>
      <c r="C692" s="1088" t="s">
        <v>2109</v>
      </c>
      <c r="D692" s="12"/>
    </row>
    <row r="693" spans="2:4" ht="15.75">
      <c r="B693" s="464" t="s">
        <v>2862</v>
      </c>
      <c r="C693" s="448" t="s">
        <v>2863</v>
      </c>
      <c r="D693" s="12"/>
    </row>
    <row r="694" spans="2:4" ht="31.5">
      <c r="B694" s="464" t="s">
        <v>2807</v>
      </c>
      <c r="C694" s="406" t="s">
        <v>2808</v>
      </c>
      <c r="D694" s="12"/>
    </row>
    <row r="695" spans="2:4" ht="15.75">
      <c r="B695" s="464" t="s">
        <v>2378</v>
      </c>
      <c r="C695" s="448" t="s">
        <v>2379</v>
      </c>
      <c r="D695" s="12"/>
    </row>
    <row r="696" spans="2:4" ht="15.75">
      <c r="B696" s="464" t="s">
        <v>2380</v>
      </c>
      <c r="C696" s="406" t="s">
        <v>2381</v>
      </c>
      <c r="D696" s="12"/>
    </row>
    <row r="697" spans="2:4" ht="15.75">
      <c r="B697" s="1812" t="s">
        <v>2866</v>
      </c>
      <c r="C697" s="431" t="s">
        <v>2867</v>
      </c>
      <c r="D697" s="12"/>
    </row>
    <row r="698" spans="2:4" ht="15.75">
      <c r="B698" s="464" t="s">
        <v>2868</v>
      </c>
      <c r="C698" s="406" t="s">
        <v>2869</v>
      </c>
      <c r="D698" s="12"/>
    </row>
    <row r="699" spans="2:4" ht="15.75">
      <c r="B699" s="1771" t="s">
        <v>3403</v>
      </c>
      <c r="C699" s="1772" t="s">
        <v>3404</v>
      </c>
      <c r="D699" s="12"/>
    </row>
    <row r="700" spans="2:4" ht="15.75">
      <c r="B700" s="1771" t="s">
        <v>3405</v>
      </c>
      <c r="C700" s="1773" t="s">
        <v>3406</v>
      </c>
      <c r="D700" s="12"/>
    </row>
    <row r="701" spans="2:4" ht="15.75">
      <c r="B701" s="464" t="s">
        <v>2129</v>
      </c>
      <c r="C701" s="406" t="s">
        <v>2130</v>
      </c>
      <c r="D701" s="12"/>
    </row>
    <row r="702" spans="2:4" s="1101" customFormat="1" ht="15.75">
      <c r="B702" s="1775" t="s">
        <v>3950</v>
      </c>
      <c r="C702" s="1776" t="s">
        <v>3951</v>
      </c>
      <c r="D702" s="1777"/>
    </row>
    <row r="703" spans="2:4" s="1101" customFormat="1" ht="15.75">
      <c r="B703" s="1824" t="s">
        <v>3953</v>
      </c>
      <c r="C703" s="1779" t="s">
        <v>3954</v>
      </c>
      <c r="D703" s="1777"/>
    </row>
    <row r="704" spans="2:4" s="1101" customFormat="1" ht="15.75">
      <c r="B704" s="464" t="s">
        <v>2981</v>
      </c>
      <c r="C704" s="416" t="s">
        <v>2837</v>
      </c>
      <c r="D704" s="1777"/>
    </row>
    <row r="705" spans="2:4" s="1101" customFormat="1" ht="15.75">
      <c r="B705" s="573" t="s">
        <v>3419</v>
      </c>
      <c r="C705" s="488" t="s">
        <v>3420</v>
      </c>
      <c r="D705" s="1777"/>
    </row>
    <row r="706" spans="2:4" s="1101" customFormat="1" ht="15.75">
      <c r="B706" s="464" t="s">
        <v>2874</v>
      </c>
      <c r="C706" s="416" t="s">
        <v>2875</v>
      </c>
      <c r="D706" s="1777"/>
    </row>
    <row r="707" spans="2:4" s="1101" customFormat="1" ht="15.75">
      <c r="B707" s="1824" t="s">
        <v>3489</v>
      </c>
      <c r="C707" s="1779" t="s">
        <v>3490</v>
      </c>
      <c r="D707" s="1777"/>
    </row>
    <row r="708" spans="2:4" s="1101" customFormat="1" ht="15.75">
      <c r="B708" s="1824" t="s">
        <v>3491</v>
      </c>
      <c r="C708" s="1779" t="s">
        <v>3492</v>
      </c>
      <c r="D708" s="1777"/>
    </row>
    <row r="709" spans="2:4" s="1101" customFormat="1" ht="31.5">
      <c r="B709" s="573" t="s">
        <v>3421</v>
      </c>
      <c r="C709" s="677" t="s">
        <v>3422</v>
      </c>
      <c r="D709" s="1777"/>
    </row>
    <row r="710" spans="2:4" s="1101" customFormat="1" ht="15.75">
      <c r="B710" s="573" t="s">
        <v>3423</v>
      </c>
      <c r="C710" s="677" t="s">
        <v>3424</v>
      </c>
      <c r="D710" s="1777"/>
    </row>
    <row r="711" spans="2:4" s="1101" customFormat="1" ht="15.75">
      <c r="B711" s="573" t="s">
        <v>3425</v>
      </c>
      <c r="C711" s="677" t="s">
        <v>3426</v>
      </c>
      <c r="D711" s="1777"/>
    </row>
    <row r="712" spans="2:4" s="1101" customFormat="1" ht="15.75">
      <c r="B712" s="1771" t="s">
        <v>3507</v>
      </c>
      <c r="C712" s="488" t="s">
        <v>3508</v>
      </c>
      <c r="D712" s="1777"/>
    </row>
    <row r="713" spans="2:4" s="1101" customFormat="1" ht="15.75">
      <c r="B713" s="573" t="s">
        <v>3427</v>
      </c>
      <c r="C713" s="677" t="s">
        <v>3428</v>
      </c>
      <c r="D713" s="1777"/>
    </row>
    <row r="714" spans="2:4" s="1101" customFormat="1" ht="15.75">
      <c r="B714" s="573" t="s">
        <v>3429</v>
      </c>
      <c r="C714" s="488" t="s">
        <v>3430</v>
      </c>
      <c r="D714" s="1777"/>
    </row>
    <row r="715" spans="2:4" s="1101" customFormat="1" ht="31.5">
      <c r="B715" s="1771" t="s">
        <v>3505</v>
      </c>
      <c r="C715" s="465" t="s">
        <v>3506</v>
      </c>
      <c r="D715" s="1777"/>
    </row>
    <row r="716" spans="2:4" s="1101" customFormat="1" ht="15.75">
      <c r="B716" s="573" t="s">
        <v>3431</v>
      </c>
      <c r="C716" s="1780" t="s">
        <v>3432</v>
      </c>
      <c r="D716" s="1777"/>
    </row>
    <row r="717" spans="2:4" s="1101" customFormat="1" ht="15.75">
      <c r="B717" s="1771" t="s">
        <v>3433</v>
      </c>
      <c r="C717" s="1781" t="s">
        <v>3434</v>
      </c>
      <c r="D717" s="1777"/>
    </row>
    <row r="718" spans="2:4" s="1101" customFormat="1" ht="31.5">
      <c r="B718" s="1771" t="s">
        <v>3435</v>
      </c>
      <c r="C718" s="1782" t="s">
        <v>3436</v>
      </c>
      <c r="D718" s="1777"/>
    </row>
    <row r="719" spans="2:4" s="1101" customFormat="1" ht="31.5">
      <c r="B719" s="1783" t="s">
        <v>4177</v>
      </c>
      <c r="C719" s="1723" t="s">
        <v>4178</v>
      </c>
      <c r="D719" s="1777"/>
    </row>
    <row r="720" spans="2:4" s="1101" customFormat="1" ht="15.75">
      <c r="B720" s="1783" t="s">
        <v>4167</v>
      </c>
      <c r="C720" s="1784" t="s">
        <v>4168</v>
      </c>
      <c r="D720" s="1777"/>
    </row>
    <row r="721" spans="2:4" s="1101" customFormat="1" ht="15.75">
      <c r="B721" s="1771" t="s">
        <v>3437</v>
      </c>
      <c r="C721" s="1782" t="s">
        <v>3438</v>
      </c>
      <c r="D721" s="1777"/>
    </row>
    <row r="722" spans="2:4" s="1101" customFormat="1" ht="15.75">
      <c r="B722" s="1771" t="s">
        <v>3439</v>
      </c>
      <c r="C722" s="1782" t="s">
        <v>3440</v>
      </c>
      <c r="D722" s="1777"/>
    </row>
    <row r="723" spans="2:4" s="1101" customFormat="1" ht="15.75">
      <c r="B723" s="1771" t="s">
        <v>3441</v>
      </c>
      <c r="C723" s="1782" t="s">
        <v>3442</v>
      </c>
      <c r="D723" s="1777"/>
    </row>
    <row r="724" spans="2:4" s="1101" customFormat="1" ht="15.75">
      <c r="B724" s="1771" t="s">
        <v>3443</v>
      </c>
      <c r="C724" s="1782" t="s">
        <v>3444</v>
      </c>
      <c r="D724" s="1777"/>
    </row>
    <row r="725" spans="2:4" s="1101" customFormat="1" ht="15.75">
      <c r="B725" s="1771" t="s">
        <v>3484</v>
      </c>
      <c r="C725" s="1782" t="s">
        <v>3485</v>
      </c>
      <c r="D725" s="1777"/>
    </row>
    <row r="726" spans="2:4" s="1101" customFormat="1" ht="15.75">
      <c r="B726" s="1771" t="s">
        <v>3445</v>
      </c>
      <c r="C726" s="1772" t="s">
        <v>3446</v>
      </c>
      <c r="D726" s="1777"/>
    </row>
    <row r="727" spans="2:4" s="1101" customFormat="1" ht="15.75">
      <c r="B727" s="1771" t="s">
        <v>3447</v>
      </c>
      <c r="C727" s="1782" t="s">
        <v>3448</v>
      </c>
      <c r="D727" s="1777"/>
    </row>
    <row r="728" spans="2:4" s="1101" customFormat="1" ht="15.75">
      <c r="B728" s="1771" t="s">
        <v>3449</v>
      </c>
      <c r="C728" s="1782" t="s">
        <v>4166</v>
      </c>
      <c r="D728" s="1777"/>
    </row>
    <row r="729" spans="2:4" s="1101" customFormat="1" ht="15.75">
      <c r="B729" s="573" t="s">
        <v>3450</v>
      </c>
      <c r="C729" s="1703" t="s">
        <v>3451</v>
      </c>
      <c r="D729" s="1777"/>
    </row>
    <row r="730" spans="2:4" s="1101" customFormat="1" ht="15.75">
      <c r="B730" s="1771" t="s">
        <v>3480</v>
      </c>
      <c r="C730" s="1782" t="s">
        <v>3481</v>
      </c>
      <c r="D730" s="1777"/>
    </row>
    <row r="731" spans="2:4" s="1101" customFormat="1" ht="15.75">
      <c r="B731" s="1771" t="s">
        <v>3517</v>
      </c>
      <c r="C731" s="1703" t="s">
        <v>3518</v>
      </c>
      <c r="D731" s="1777"/>
    </row>
    <row r="732" spans="2:4" s="1101" customFormat="1" ht="15.75">
      <c r="B732" s="1771" t="s">
        <v>3509</v>
      </c>
      <c r="C732" s="1703" t="s">
        <v>3510</v>
      </c>
      <c r="D732" s="1777"/>
    </row>
    <row r="733" spans="2:4" s="1101" customFormat="1" ht="15.75">
      <c r="B733" s="1771" t="s">
        <v>3513</v>
      </c>
      <c r="C733" s="1703" t="s">
        <v>3514</v>
      </c>
      <c r="D733" s="1777"/>
    </row>
    <row r="734" spans="2:4" s="1101" customFormat="1" ht="15.75">
      <c r="B734" s="1771" t="s">
        <v>3511</v>
      </c>
      <c r="C734" s="1703" t="s">
        <v>3512</v>
      </c>
      <c r="D734" s="1777"/>
    </row>
    <row r="735" spans="2:4" s="1101" customFormat="1" ht="15.75">
      <c r="B735" s="573" t="s">
        <v>3452</v>
      </c>
      <c r="C735" s="1703" t="s">
        <v>3453</v>
      </c>
      <c r="D735" s="1777"/>
    </row>
    <row r="736" spans="2:4" s="1101" customFormat="1" ht="15.75">
      <c r="B736" s="1771" t="s">
        <v>3454</v>
      </c>
      <c r="C736" s="1782" t="s">
        <v>3455</v>
      </c>
      <c r="D736" s="1777"/>
    </row>
    <row r="737" spans="2:4" s="1101" customFormat="1" ht="15.75">
      <c r="B737" s="1783" t="s">
        <v>4169</v>
      </c>
      <c r="C737" s="1723" t="s">
        <v>4170</v>
      </c>
      <c r="D737" s="1777"/>
    </row>
    <row r="738" spans="2:4" s="1101" customFormat="1" ht="15.75">
      <c r="B738" s="1771" t="s">
        <v>3456</v>
      </c>
      <c r="C738" s="1782" t="s">
        <v>3457</v>
      </c>
      <c r="D738" s="1777"/>
    </row>
    <row r="739" spans="2:4" s="1101" customFormat="1" ht="15.75">
      <c r="B739" s="1771" t="s">
        <v>3458</v>
      </c>
      <c r="C739" s="1782" t="s">
        <v>3459</v>
      </c>
      <c r="D739" s="1777"/>
    </row>
    <row r="740" spans="2:4" s="1101" customFormat="1" ht="15.75">
      <c r="B740" s="1771" t="s">
        <v>3460</v>
      </c>
      <c r="C740" s="1782" t="s">
        <v>3461</v>
      </c>
      <c r="D740" s="1777"/>
    </row>
    <row r="741" spans="2:4" s="1101" customFormat="1" ht="15.75">
      <c r="B741" s="1771" t="s">
        <v>3486</v>
      </c>
      <c r="C741" s="1782" t="s">
        <v>3487</v>
      </c>
      <c r="D741" s="1777"/>
    </row>
    <row r="742" spans="2:4" s="1101" customFormat="1" ht="15.75">
      <c r="B742" s="1771" t="s">
        <v>3462</v>
      </c>
      <c r="C742" s="1782" t="s">
        <v>3463</v>
      </c>
      <c r="D742" s="1777"/>
    </row>
    <row r="743" spans="2:4" ht="15.75">
      <c r="B743" s="1771" t="s">
        <v>3482</v>
      </c>
      <c r="C743" s="1782" t="s">
        <v>3483</v>
      </c>
      <c r="D743" s="12"/>
    </row>
    <row r="744" spans="2:4" ht="31.5">
      <c r="B744" s="1771" t="s">
        <v>3519</v>
      </c>
      <c r="C744" s="1703" t="s">
        <v>3520</v>
      </c>
      <c r="D744" s="12"/>
    </row>
    <row r="745" spans="2:4" ht="31.5">
      <c r="B745" s="1783" t="s">
        <v>4175</v>
      </c>
      <c r="C745" s="1723" t="s">
        <v>4176</v>
      </c>
      <c r="D745" s="12"/>
    </row>
    <row r="746" spans="2:4" ht="31.5">
      <c r="B746" s="1825" t="s">
        <v>4171</v>
      </c>
      <c r="C746" s="1723" t="s">
        <v>4172</v>
      </c>
      <c r="D746" s="12"/>
    </row>
    <row r="747" spans="2:4" ht="31.5">
      <c r="B747" s="1783" t="s">
        <v>4173</v>
      </c>
      <c r="C747" s="1723" t="s">
        <v>4174</v>
      </c>
      <c r="D747" s="12"/>
    </row>
    <row r="748" spans="2:4" ht="15.75">
      <c r="B748" s="1771" t="s">
        <v>3525</v>
      </c>
      <c r="C748" s="1703" t="s">
        <v>3526</v>
      </c>
      <c r="D748" s="12"/>
    </row>
    <row r="749" spans="2:4" ht="31.5">
      <c r="B749" s="1771" t="s">
        <v>3515</v>
      </c>
      <c r="C749" s="1703" t="s">
        <v>3516</v>
      </c>
      <c r="D749" s="12"/>
    </row>
    <row r="750" spans="2:4" ht="15.75">
      <c r="B750" s="1771" t="s">
        <v>3464</v>
      </c>
      <c r="C750" s="1703" t="s">
        <v>3465</v>
      </c>
      <c r="D750" s="12"/>
    </row>
    <row r="751" spans="2:4" ht="15.75">
      <c r="B751" s="1771" t="s">
        <v>3527</v>
      </c>
      <c r="C751" s="1703" t="s">
        <v>3528</v>
      </c>
      <c r="D751" s="12"/>
    </row>
    <row r="752" spans="2:4" ht="15.75">
      <c r="B752" s="1771" t="s">
        <v>3466</v>
      </c>
      <c r="C752" s="1782" t="s">
        <v>3467</v>
      </c>
      <c r="D752" s="12"/>
    </row>
    <row r="753" spans="2:4" ht="31.5">
      <c r="B753" s="1771" t="s">
        <v>3497</v>
      </c>
      <c r="C753" s="1703" t="s">
        <v>3498</v>
      </c>
      <c r="D753" s="12"/>
    </row>
    <row r="754" spans="2:4" ht="31.5">
      <c r="B754" s="1771" t="s">
        <v>3501</v>
      </c>
      <c r="C754" s="1703" t="s">
        <v>3502</v>
      </c>
      <c r="D754" s="12"/>
    </row>
    <row r="755" spans="2:4" ht="31.5">
      <c r="B755" s="1771" t="s">
        <v>3499</v>
      </c>
      <c r="C755" s="1703" t="s">
        <v>3500</v>
      </c>
      <c r="D755" s="12"/>
    </row>
    <row r="756" spans="2:4" ht="15.75">
      <c r="B756" s="1771" t="s">
        <v>3468</v>
      </c>
      <c r="C756" s="1782" t="s">
        <v>3469</v>
      </c>
      <c r="D756" s="12"/>
    </row>
    <row r="757" spans="2:4" ht="31.5">
      <c r="B757" s="1771" t="s">
        <v>3503</v>
      </c>
      <c r="C757" s="1703" t="s">
        <v>3504</v>
      </c>
      <c r="D757" s="12"/>
    </row>
    <row r="758" spans="2:4" ht="15.75">
      <c r="B758" s="1823" t="s">
        <v>3523</v>
      </c>
      <c r="C758" s="487" t="s">
        <v>3524</v>
      </c>
      <c r="D758" s="12"/>
    </row>
    <row r="759" spans="2:4" ht="15.75">
      <c r="B759" s="1771" t="s">
        <v>3521</v>
      </c>
      <c r="C759" s="464" t="s">
        <v>3522</v>
      </c>
      <c r="D759" s="12"/>
    </row>
    <row r="760" spans="2:4" ht="15.75">
      <c r="B760" s="1771" t="s">
        <v>3472</v>
      </c>
      <c r="C760" s="1781" t="s">
        <v>3473</v>
      </c>
      <c r="D760" s="12"/>
    </row>
    <row r="761" spans="2:4" ht="15.75">
      <c r="B761" s="1771" t="s">
        <v>3470</v>
      </c>
      <c r="C761" s="1781" t="s">
        <v>3471</v>
      </c>
      <c r="D761" s="12"/>
    </row>
    <row r="762" spans="2:4" ht="31.5">
      <c r="B762" s="1783" t="s">
        <v>4179</v>
      </c>
      <c r="C762" s="1333" t="s">
        <v>4180</v>
      </c>
      <c r="D762" s="12"/>
    </row>
    <row r="763" spans="2:4" ht="15.75">
      <c r="B763" s="1824" t="s">
        <v>3493</v>
      </c>
      <c r="C763" s="1778" t="s">
        <v>3494</v>
      </c>
      <c r="D763" s="12"/>
    </row>
    <row r="764" spans="2:4" ht="15.75">
      <c r="B764" s="411" t="s">
        <v>2131</v>
      </c>
      <c r="C764" s="412" t="s">
        <v>2132</v>
      </c>
      <c r="D764" s="12"/>
    </row>
    <row r="765" spans="2:4" ht="15.75">
      <c r="B765" s="1771" t="s">
        <v>3474</v>
      </c>
      <c r="C765" s="1774" t="s">
        <v>3475</v>
      </c>
      <c r="D765" s="12"/>
    </row>
    <row r="766" spans="2:4" ht="15.75">
      <c r="B766" s="1771" t="s">
        <v>3476</v>
      </c>
      <c r="C766" s="1774" t="s">
        <v>3477</v>
      </c>
      <c r="D766" s="12"/>
    </row>
    <row r="767" spans="2:4" ht="15.75">
      <c r="B767" s="1824" t="s">
        <v>3952</v>
      </c>
      <c r="C767" s="1779" t="s">
        <v>3495</v>
      </c>
      <c r="D767" s="12"/>
    </row>
    <row r="768" spans="2:4" ht="15.75">
      <c r="B768" s="1771" t="s">
        <v>3407</v>
      </c>
      <c r="C768" s="1774" t="s">
        <v>4031</v>
      </c>
      <c r="D768" s="12"/>
    </row>
    <row r="769" spans="2:4" ht="15.75">
      <c r="B769" s="1771" t="s">
        <v>3408</v>
      </c>
      <c r="C769" s="1774" t="s">
        <v>4046</v>
      </c>
      <c r="D769" s="12"/>
    </row>
    <row r="770" spans="2:4" ht="15.75">
      <c r="B770" s="1771" t="s">
        <v>3409</v>
      </c>
      <c r="C770" s="1774" t="s">
        <v>3410</v>
      </c>
      <c r="D770" s="12"/>
    </row>
    <row r="771" spans="2:4" ht="15.75">
      <c r="B771" s="1771" t="s">
        <v>3411</v>
      </c>
      <c r="C771" s="1774" t="s">
        <v>4047</v>
      </c>
      <c r="D771" s="12"/>
    </row>
    <row r="772" spans="2:4" ht="15.75">
      <c r="B772" s="1771" t="s">
        <v>3412</v>
      </c>
      <c r="C772" s="1774" t="s">
        <v>4049</v>
      </c>
      <c r="D772" s="12"/>
    </row>
    <row r="773" spans="2:4" ht="15.75">
      <c r="B773" s="1771" t="s">
        <v>3413</v>
      </c>
      <c r="C773" s="1774" t="s">
        <v>4048</v>
      </c>
      <c r="D773" s="12"/>
    </row>
    <row r="774" spans="2:4" ht="15.75">
      <c r="B774" s="1771" t="s">
        <v>3414</v>
      </c>
      <c r="C774" s="1774" t="s">
        <v>3415</v>
      </c>
      <c r="D774" s="12"/>
    </row>
    <row r="775" spans="2:4" ht="31.5">
      <c r="B775" s="637" t="s">
        <v>3260</v>
      </c>
      <c r="C775" s="680" t="s">
        <v>3261</v>
      </c>
      <c r="D775" s="12"/>
    </row>
    <row r="776" spans="2:4" ht="15.75">
      <c r="B776" s="1771" t="s">
        <v>3488</v>
      </c>
      <c r="C776" s="1774" t="s">
        <v>4050</v>
      </c>
      <c r="D776" s="12"/>
    </row>
    <row r="777" spans="2:4" ht="15.75">
      <c r="B777" s="1771" t="s">
        <v>3416</v>
      </c>
      <c r="C777" s="1785" t="s">
        <v>4030</v>
      </c>
      <c r="D777" s="12"/>
    </row>
    <row r="778" spans="2:4" ht="31.5">
      <c r="B778" s="637" t="s">
        <v>3262</v>
      </c>
      <c r="C778" s="680" t="s">
        <v>3263</v>
      </c>
      <c r="D778" s="12"/>
    </row>
    <row r="779" spans="2:4" ht="15.75">
      <c r="B779" s="637" t="s">
        <v>3264</v>
      </c>
      <c r="C779" s="680" t="s">
        <v>3265</v>
      </c>
      <c r="D779" s="12"/>
    </row>
    <row r="780" spans="2:4" ht="15.75">
      <c r="B780" s="1771" t="s">
        <v>3479</v>
      </c>
      <c r="C780" s="1774" t="s">
        <v>4032</v>
      </c>
      <c r="D780" s="12"/>
    </row>
    <row r="781" spans="2:4" ht="15.75">
      <c r="B781" s="1786" t="s">
        <v>3417</v>
      </c>
      <c r="C781" s="1785" t="s">
        <v>3418</v>
      </c>
      <c r="D781" s="12"/>
    </row>
    <row r="782" spans="2:4" ht="15.75">
      <c r="B782" s="637" t="s">
        <v>3266</v>
      </c>
      <c r="C782" s="680" t="s">
        <v>3267</v>
      </c>
      <c r="D782" s="12"/>
    </row>
    <row r="783" spans="2:4" ht="15.75">
      <c r="B783" s="637" t="s">
        <v>3268</v>
      </c>
      <c r="C783" s="680" t="s">
        <v>3269</v>
      </c>
      <c r="D783" s="12"/>
    </row>
    <row r="784" spans="2:4" ht="15.75">
      <c r="B784" s="637" t="s">
        <v>3270</v>
      </c>
      <c r="C784" s="680" t="s">
        <v>3271</v>
      </c>
      <c r="D784" s="12"/>
    </row>
    <row r="785" spans="2:4" ht="15.75">
      <c r="B785" s="637" t="s">
        <v>3272</v>
      </c>
      <c r="C785" s="680" t="s">
        <v>3273</v>
      </c>
      <c r="D785" s="12"/>
    </row>
    <row r="786" spans="2:4" ht="31.5">
      <c r="B786" s="637" t="s">
        <v>3274</v>
      </c>
      <c r="C786" s="680" t="s">
        <v>3275</v>
      </c>
      <c r="D786" s="12"/>
    </row>
    <row r="787" spans="2:4" ht="15.75">
      <c r="B787" s="637" t="s">
        <v>3276</v>
      </c>
      <c r="C787" s="1753" t="s">
        <v>3277</v>
      </c>
      <c r="D787" s="12"/>
    </row>
    <row r="788" spans="2:4" ht="15.75">
      <c r="B788" s="1803" t="s">
        <v>3278</v>
      </c>
      <c r="C788" s="1707" t="s">
        <v>3279</v>
      </c>
      <c r="D788" s="12"/>
    </row>
    <row r="789" spans="2:4" ht="15.75">
      <c r="B789" s="637" t="s">
        <v>3280</v>
      </c>
      <c r="C789" s="1707" t="s">
        <v>3281</v>
      </c>
      <c r="D789" s="12"/>
    </row>
    <row r="790" spans="2:4" ht="15.75">
      <c r="B790" s="637" t="s">
        <v>3282</v>
      </c>
      <c r="C790" s="1707" t="s">
        <v>3283</v>
      </c>
      <c r="D790" s="12"/>
    </row>
    <row r="791" spans="2:4" ht="15.75">
      <c r="B791" s="637" t="s">
        <v>3284</v>
      </c>
      <c r="C791" s="1707" t="s">
        <v>3285</v>
      </c>
      <c r="D791" s="12"/>
    </row>
    <row r="792" spans="2:4" ht="15.75">
      <c r="B792" s="411" t="s">
        <v>2133</v>
      </c>
      <c r="C792" s="411" t="s">
        <v>2134</v>
      </c>
      <c r="D792" s="12"/>
    </row>
    <row r="793" spans="2:4" ht="15.75">
      <c r="B793" s="637" t="s">
        <v>3286</v>
      </c>
      <c r="C793" s="1707" t="s">
        <v>3287</v>
      </c>
      <c r="D793" s="12"/>
    </row>
    <row r="794" spans="2:4" ht="31.5">
      <c r="B794" s="637" t="s">
        <v>3288</v>
      </c>
      <c r="C794" s="1707" t="s">
        <v>3289</v>
      </c>
      <c r="D794" s="12"/>
    </row>
    <row r="795" spans="2:4" ht="15.75">
      <c r="B795" s="637" t="s">
        <v>3290</v>
      </c>
      <c r="C795" s="1707" t="s">
        <v>3291</v>
      </c>
      <c r="D795" s="12"/>
    </row>
    <row r="796" spans="2:4" ht="31.5">
      <c r="B796" s="1775" t="s">
        <v>3858</v>
      </c>
      <c r="C796" s="1787" t="s">
        <v>3854</v>
      </c>
      <c r="D796" s="12"/>
    </row>
    <row r="797" spans="2:4" ht="31.5">
      <c r="B797" s="1775" t="s">
        <v>3859</v>
      </c>
      <c r="C797" s="1787" t="s">
        <v>3855</v>
      </c>
      <c r="D797" s="12"/>
    </row>
    <row r="798" spans="2:4" ht="31.5">
      <c r="B798" s="1775" t="s">
        <v>3856</v>
      </c>
      <c r="C798" s="1787" t="s">
        <v>3857</v>
      </c>
      <c r="D798" s="12"/>
    </row>
    <row r="799" spans="2:4" ht="31.5">
      <c r="B799" s="1775" t="s">
        <v>3860</v>
      </c>
      <c r="C799" s="1788" t="s">
        <v>3861</v>
      </c>
      <c r="D799" s="12"/>
    </row>
    <row r="800" spans="2:4" ht="31.5">
      <c r="B800" s="1775" t="s">
        <v>3955</v>
      </c>
      <c r="C800" s="1788" t="s">
        <v>3956</v>
      </c>
      <c r="D800" s="12"/>
    </row>
    <row r="801" spans="2:4" ht="31.5">
      <c r="B801" s="1775" t="s">
        <v>3862</v>
      </c>
      <c r="C801" s="1788" t="s">
        <v>3864</v>
      </c>
      <c r="D801" s="12"/>
    </row>
    <row r="802" spans="2:4" ht="15.75">
      <c r="B802" s="1775" t="s">
        <v>3863</v>
      </c>
      <c r="C802" s="1788" t="s">
        <v>3865</v>
      </c>
      <c r="D802" s="12"/>
    </row>
    <row r="803" spans="2:4" ht="15.75">
      <c r="B803" s="1826" t="s">
        <v>3137</v>
      </c>
      <c r="C803" s="622" t="s">
        <v>3138</v>
      </c>
      <c r="D803" s="12"/>
    </row>
    <row r="804" spans="2:4" ht="15.75">
      <c r="B804" s="1826" t="s">
        <v>3139</v>
      </c>
      <c r="C804" s="622" t="s">
        <v>3140</v>
      </c>
      <c r="D804" s="12"/>
    </row>
    <row r="805" spans="2:4" ht="15.75">
      <c r="B805" s="1817" t="s">
        <v>3026</v>
      </c>
      <c r="C805" s="622" t="s">
        <v>3027</v>
      </c>
      <c r="D805" s="12"/>
    </row>
    <row r="806" spans="2:4" ht="31.5">
      <c r="B806" s="1817" t="s">
        <v>3028</v>
      </c>
      <c r="C806" s="622" t="s">
        <v>3029</v>
      </c>
      <c r="D806" s="12"/>
    </row>
    <row r="807" spans="2:4" ht="15.75">
      <c r="B807" s="1817" t="s">
        <v>3030</v>
      </c>
      <c r="C807" s="622" t="s">
        <v>3031</v>
      </c>
      <c r="D807" s="12"/>
    </row>
    <row r="808" spans="2:4" ht="15.75">
      <c r="B808" s="1817" t="s">
        <v>3032</v>
      </c>
      <c r="C808" s="622" t="s">
        <v>3033</v>
      </c>
      <c r="D808" s="12"/>
    </row>
    <row r="809" spans="2:4" ht="15.75">
      <c r="B809" s="1817" t="s">
        <v>3034</v>
      </c>
      <c r="C809" s="622" t="s">
        <v>3035</v>
      </c>
      <c r="D809" s="12"/>
    </row>
    <row r="810" spans="2:4" ht="15.75">
      <c r="B810" s="1817" t="s">
        <v>3036</v>
      </c>
      <c r="C810" s="622" t="s">
        <v>3037</v>
      </c>
      <c r="D810" s="12"/>
    </row>
    <row r="811" spans="2:4" ht="15.75">
      <c r="B811" s="1817" t="s">
        <v>3038</v>
      </c>
      <c r="C811" s="622" t="s">
        <v>3039</v>
      </c>
      <c r="D811" s="12"/>
    </row>
    <row r="812" spans="2:4" ht="15.75">
      <c r="B812" s="1817" t="s">
        <v>3040</v>
      </c>
      <c r="C812" s="622" t="s">
        <v>3041</v>
      </c>
      <c r="D812" s="12"/>
    </row>
    <row r="813" spans="2:4" ht="15.75">
      <c r="B813" s="1817" t="s">
        <v>3042</v>
      </c>
      <c r="C813" s="622" t="s">
        <v>3043</v>
      </c>
      <c r="D813" s="12"/>
    </row>
    <row r="814" spans="2:4" ht="15.75">
      <c r="B814" s="1817" t="s">
        <v>3044</v>
      </c>
      <c r="C814" s="622" t="s">
        <v>3045</v>
      </c>
      <c r="D814" s="12"/>
    </row>
    <row r="815" spans="2:4" ht="15.75">
      <c r="B815" s="1817" t="s">
        <v>3046</v>
      </c>
      <c r="C815" s="622" t="s">
        <v>3047</v>
      </c>
      <c r="D815" s="12"/>
    </row>
    <row r="816" spans="2:4" ht="15.75">
      <c r="B816" s="1817" t="s">
        <v>3048</v>
      </c>
      <c r="C816" s="622" t="s">
        <v>3049</v>
      </c>
      <c r="D816" s="12"/>
    </row>
    <row r="817" spans="2:4" ht="15.75">
      <c r="B817" s="1817" t="s">
        <v>3050</v>
      </c>
      <c r="C817" s="622" t="s">
        <v>3051</v>
      </c>
      <c r="D817" s="12"/>
    </row>
    <row r="818" spans="2:4" ht="15.75">
      <c r="B818" s="1817" t="s">
        <v>3052</v>
      </c>
      <c r="C818" s="622" t="s">
        <v>3053</v>
      </c>
      <c r="D818" s="12"/>
    </row>
    <row r="819" spans="2:4" ht="15.75">
      <c r="B819" s="1817" t="s">
        <v>3054</v>
      </c>
      <c r="C819" s="622" t="s">
        <v>3055</v>
      </c>
      <c r="D819" s="12"/>
    </row>
    <row r="820" spans="2:4" ht="15.75">
      <c r="B820" s="1817" t="s">
        <v>3056</v>
      </c>
      <c r="C820" s="622" t="s">
        <v>3057</v>
      </c>
      <c r="D820" s="12"/>
    </row>
    <row r="821" spans="2:4" ht="15.75">
      <c r="B821" s="1817" t="s">
        <v>3058</v>
      </c>
      <c r="C821" s="622" t="s">
        <v>3059</v>
      </c>
      <c r="D821" s="12"/>
    </row>
    <row r="822" spans="2:4" ht="15.75">
      <c r="B822" s="1817" t="s">
        <v>3060</v>
      </c>
      <c r="C822" s="622" t="s">
        <v>3061</v>
      </c>
      <c r="D822" s="12"/>
    </row>
    <row r="823" spans="2:4" ht="15.75">
      <c r="B823" s="1817" t="s">
        <v>3062</v>
      </c>
      <c r="C823" s="622" t="s">
        <v>3063</v>
      </c>
      <c r="D823" s="12"/>
    </row>
    <row r="824" spans="2:4" ht="15.75">
      <c r="B824" s="1817" t="s">
        <v>3064</v>
      </c>
      <c r="C824" s="622" t="s">
        <v>3065</v>
      </c>
      <c r="D824" s="12"/>
    </row>
    <row r="825" spans="2:4" ht="15.75">
      <c r="B825" s="1817" t="s">
        <v>3066</v>
      </c>
      <c r="C825" s="622" t="s">
        <v>3067</v>
      </c>
      <c r="D825" s="12"/>
    </row>
    <row r="826" spans="2:4" ht="15.75">
      <c r="B826" s="1817" t="s">
        <v>3103</v>
      </c>
      <c r="C826" s="622" t="s">
        <v>3104</v>
      </c>
      <c r="D826" s="12"/>
    </row>
    <row r="827" spans="2:4" ht="15.75">
      <c r="B827" s="464" t="s">
        <v>3237</v>
      </c>
      <c r="C827" s="1715" t="s">
        <v>3238</v>
      </c>
      <c r="D827" s="12"/>
    </row>
    <row r="828" spans="2:4" ht="15.75">
      <c r="B828" s="464" t="s">
        <v>3239</v>
      </c>
      <c r="C828" s="1715" t="s">
        <v>3240</v>
      </c>
      <c r="D828" s="12"/>
    </row>
    <row r="829" spans="2:4" ht="15.75">
      <c r="B829" s="464" t="s">
        <v>3241</v>
      </c>
      <c r="C829" s="1715" t="s">
        <v>3242</v>
      </c>
      <c r="D829" s="12"/>
    </row>
    <row r="830" spans="2:4" ht="31.5">
      <c r="B830" s="464" t="s">
        <v>3243</v>
      </c>
      <c r="C830" s="1715" t="s">
        <v>3244</v>
      </c>
      <c r="D830" s="12"/>
    </row>
    <row r="831" spans="2:4" ht="15.75">
      <c r="B831" s="1817" t="s">
        <v>3094</v>
      </c>
      <c r="C831" s="622" t="s">
        <v>3095</v>
      </c>
      <c r="D831" s="12"/>
    </row>
    <row r="832" spans="2:4" ht="15.75">
      <c r="B832" s="464" t="s">
        <v>3245</v>
      </c>
      <c r="C832" s="1715" t="s">
        <v>3246</v>
      </c>
      <c r="D832" s="12"/>
    </row>
    <row r="833" spans="2:4" ht="15.75">
      <c r="B833" s="464" t="s">
        <v>3247</v>
      </c>
      <c r="C833" s="1715" t="s">
        <v>3248</v>
      </c>
      <c r="D833" s="12"/>
    </row>
    <row r="834" spans="2:4" ht="15.75">
      <c r="B834" s="1796" t="s">
        <v>3911</v>
      </c>
      <c r="C834" s="1759" t="s">
        <v>3312</v>
      </c>
      <c r="D834" s="12"/>
    </row>
    <row r="835" spans="2:4" ht="15.75">
      <c r="B835" s="1796" t="s">
        <v>3912</v>
      </c>
      <c r="C835" s="1759" t="s">
        <v>3314</v>
      </c>
      <c r="D835" s="12"/>
    </row>
    <row r="836" spans="2:4" ht="15.75">
      <c r="B836" s="1796" t="s">
        <v>3913</v>
      </c>
      <c r="C836" s="1759" t="s">
        <v>3316</v>
      </c>
      <c r="D836" s="12"/>
    </row>
    <row r="837" spans="2:4" ht="15.75">
      <c r="B837" s="1813" t="s">
        <v>3914</v>
      </c>
      <c r="C837" s="1759" t="s">
        <v>3318</v>
      </c>
      <c r="D837" s="12"/>
    </row>
    <row r="838" spans="2:4" ht="15.75">
      <c r="B838" s="1813" t="s">
        <v>3915</v>
      </c>
      <c r="C838" s="1759" t="s">
        <v>3320</v>
      </c>
      <c r="D838" s="12"/>
    </row>
    <row r="839" spans="2:4" ht="15.75">
      <c r="B839" s="1813" t="s">
        <v>3916</v>
      </c>
      <c r="C839" s="1759" t="s">
        <v>3353</v>
      </c>
      <c r="D839" s="12"/>
    </row>
    <row r="840" spans="2:4" ht="15.75">
      <c r="B840" s="1796" t="s">
        <v>3917</v>
      </c>
      <c r="C840" s="1766" t="s">
        <v>3355</v>
      </c>
      <c r="D840" s="12"/>
    </row>
    <row r="841" spans="2:4" ht="15.75">
      <c r="B841" s="1796" t="s">
        <v>3918</v>
      </c>
      <c r="C841" s="1766" t="s">
        <v>3357</v>
      </c>
      <c r="D841" s="12"/>
    </row>
    <row r="842" spans="2:4" ht="15.75">
      <c r="B842" s="1796" t="s">
        <v>3919</v>
      </c>
      <c r="C842" s="1766" t="s">
        <v>3359</v>
      </c>
      <c r="D842" s="12"/>
    </row>
    <row r="843" spans="2:4" ht="15.75">
      <c r="B843" s="1797" t="s">
        <v>3920</v>
      </c>
      <c r="C843" s="1766" t="s">
        <v>3310</v>
      </c>
      <c r="D843" s="12"/>
    </row>
    <row r="844" spans="2:4" ht="15.75">
      <c r="B844" s="1796" t="s">
        <v>3921</v>
      </c>
      <c r="C844" s="1759" t="s">
        <v>3308</v>
      </c>
      <c r="D844" s="12"/>
    </row>
    <row r="845" spans="2:4" ht="15.75">
      <c r="B845" s="1796" t="s">
        <v>3922</v>
      </c>
      <c r="C845" s="1759" t="s">
        <v>3348</v>
      </c>
      <c r="D845" s="12"/>
    </row>
    <row r="846" spans="2:4" ht="15.75">
      <c r="B846" s="1814" t="s">
        <v>3923</v>
      </c>
      <c r="C846" s="1761" t="s">
        <v>3350</v>
      </c>
      <c r="D846" s="12"/>
    </row>
    <row r="847" spans="2:4" ht="15.75">
      <c r="B847" s="1814" t="s">
        <v>3924</v>
      </c>
      <c r="C847" s="1767" t="s">
        <v>3842</v>
      </c>
      <c r="D847" s="12"/>
    </row>
    <row r="848" spans="2:4" ht="15.75">
      <c r="B848" s="1796" t="s">
        <v>3925</v>
      </c>
      <c r="C848" s="1759" t="s">
        <v>3361</v>
      </c>
      <c r="D848" s="12"/>
    </row>
    <row r="849" spans="2:4" ht="15.75">
      <c r="B849" s="1796" t="s">
        <v>3926</v>
      </c>
      <c r="C849" s="1759" t="s">
        <v>3363</v>
      </c>
      <c r="D849" s="12"/>
    </row>
    <row r="850" spans="2:4" ht="15.75">
      <c r="B850" s="1796" t="s">
        <v>3927</v>
      </c>
      <c r="C850" s="1759" t="s">
        <v>3369</v>
      </c>
      <c r="D850" s="12"/>
    </row>
    <row r="851" spans="2:4" ht="15.75">
      <c r="B851" s="1796" t="s">
        <v>3928</v>
      </c>
      <c r="C851" s="1759" t="s">
        <v>3367</v>
      </c>
      <c r="D851" s="12"/>
    </row>
    <row r="852" spans="2:4" ht="15.75">
      <c r="B852" s="1796" t="s">
        <v>3929</v>
      </c>
      <c r="C852" s="1759" t="s">
        <v>3371</v>
      </c>
      <c r="D852" s="12"/>
    </row>
    <row r="853" spans="2:4" ht="15.75">
      <c r="B853" s="1796" t="s">
        <v>3930</v>
      </c>
      <c r="C853" s="1759" t="s">
        <v>3365</v>
      </c>
      <c r="D853" s="12"/>
    </row>
    <row r="854" spans="2:4" ht="15.75">
      <c r="B854" s="1796" t="s">
        <v>3931</v>
      </c>
      <c r="C854" s="1759" t="s">
        <v>3302</v>
      </c>
      <c r="D854" s="12"/>
    </row>
    <row r="855" spans="2:4" ht="15.75">
      <c r="B855" s="1796" t="s">
        <v>3932</v>
      </c>
      <c r="C855" s="1759" t="s">
        <v>3304</v>
      </c>
      <c r="D855" s="12"/>
    </row>
    <row r="856" spans="2:4" ht="15.75">
      <c r="B856" s="1796" t="s">
        <v>3933</v>
      </c>
      <c r="C856" s="1759" t="s">
        <v>3306</v>
      </c>
      <c r="D856" s="12"/>
    </row>
    <row r="857" spans="2:4" ht="15.75">
      <c r="B857" s="1796" t="s">
        <v>3934</v>
      </c>
      <c r="C857" s="1759" t="s">
        <v>3935</v>
      </c>
      <c r="D857" s="12"/>
    </row>
    <row r="858" spans="2:4" ht="15.75">
      <c r="B858" s="1796" t="s">
        <v>3936</v>
      </c>
      <c r="C858" s="1759" t="s">
        <v>3322</v>
      </c>
      <c r="D858" s="12"/>
    </row>
    <row r="859" spans="2:4" ht="15.75">
      <c r="B859" s="1796" t="s">
        <v>3937</v>
      </c>
      <c r="C859" s="1759" t="s">
        <v>3324</v>
      </c>
      <c r="D859" s="12"/>
    </row>
    <row r="860" spans="2:4" ht="15.75">
      <c r="B860" s="1796" t="s">
        <v>3938</v>
      </c>
      <c r="C860" s="1759" t="s">
        <v>3326</v>
      </c>
      <c r="D860" s="12"/>
    </row>
    <row r="861" spans="2:4" ht="15.75">
      <c r="B861" s="1796" t="s">
        <v>3939</v>
      </c>
      <c r="C861" s="1759" t="s">
        <v>3344</v>
      </c>
      <c r="D861" s="12"/>
    </row>
    <row r="862" spans="2:4" ht="15.75">
      <c r="B862" s="1796" t="s">
        <v>3940</v>
      </c>
      <c r="C862" s="1759" t="s">
        <v>3346</v>
      </c>
      <c r="D862" s="12"/>
    </row>
    <row r="863" spans="2:4" ht="15.75">
      <c r="B863" s="1813" t="s">
        <v>3941</v>
      </c>
      <c r="C863" s="1759" t="s">
        <v>2126</v>
      </c>
      <c r="D863" s="12"/>
    </row>
    <row r="864" spans="2:4" ht="15.75">
      <c r="B864" s="1815" t="s">
        <v>3942</v>
      </c>
      <c r="C864" s="1759" t="s">
        <v>2128</v>
      </c>
      <c r="D864" s="12"/>
    </row>
    <row r="865" spans="2:4" ht="15.75">
      <c r="B865" s="1813" t="s">
        <v>3943</v>
      </c>
      <c r="C865" s="1759" t="s">
        <v>3340</v>
      </c>
      <c r="D865" s="12"/>
    </row>
    <row r="866" spans="2:4" ht="15.75">
      <c r="B866" s="1813" t="s">
        <v>3944</v>
      </c>
      <c r="C866" s="1759" t="s">
        <v>3342</v>
      </c>
      <c r="D866" s="12"/>
    </row>
    <row r="867" spans="2:4" ht="15.75">
      <c r="B867" s="1813" t="s">
        <v>3945</v>
      </c>
      <c r="C867" s="1759" t="s">
        <v>3336</v>
      </c>
      <c r="D867" s="12"/>
    </row>
    <row r="868" spans="2:4" ht="15.75">
      <c r="B868" s="1813" t="s">
        <v>3946</v>
      </c>
      <c r="C868" s="1759" t="s">
        <v>3334</v>
      </c>
      <c r="D868" s="12"/>
    </row>
    <row r="869" spans="2:4" ht="15.75">
      <c r="B869" s="1816" t="s">
        <v>3947</v>
      </c>
      <c r="C869" s="1769" t="s">
        <v>3329</v>
      </c>
      <c r="D869" s="12"/>
    </row>
    <row r="870" spans="2:4" ht="15.75">
      <c r="B870" s="1816" t="s">
        <v>3948</v>
      </c>
      <c r="C870" s="1768" t="s">
        <v>3328</v>
      </c>
      <c r="D870" s="12"/>
    </row>
    <row r="871" spans="2:4" ht="15.75">
      <c r="B871" s="1816" t="s">
        <v>3949</v>
      </c>
      <c r="C871" s="1768" t="s">
        <v>2834</v>
      </c>
      <c r="D871" s="12"/>
    </row>
  </sheetData>
  <sortState ref="B1:C1177">
    <sortCondition ref="B1051"/>
  </sortState>
  <mergeCells count="1">
    <mergeCell ref="D4:I4"/>
  </mergeCells>
  <conditionalFormatting sqref="B741:B742">
    <cfRule type="duplicateValues" dxfId="35" priority="37" stopIfTrue="1"/>
  </conditionalFormatting>
  <conditionalFormatting sqref="B374:B388">
    <cfRule type="duplicateValues" dxfId="34" priority="30" stopIfTrue="1"/>
  </conditionalFormatting>
  <conditionalFormatting sqref="B389">
    <cfRule type="duplicateValues" dxfId="33" priority="29" stopIfTrue="1"/>
  </conditionalFormatting>
  <conditionalFormatting sqref="B392:B414">
    <cfRule type="duplicateValues" dxfId="32" priority="28" stopIfTrue="1"/>
  </conditionalFormatting>
  <conditionalFormatting sqref="B417:B423">
    <cfRule type="duplicateValues" dxfId="31" priority="27" stopIfTrue="1"/>
  </conditionalFormatting>
  <conditionalFormatting sqref="B264:B273">
    <cfRule type="duplicateValues" dxfId="30" priority="26" stopIfTrue="1"/>
  </conditionalFormatting>
  <conditionalFormatting sqref="B190">
    <cfRule type="duplicateValues" dxfId="29" priority="16" stopIfTrue="1"/>
    <cfRule type="duplicateValues" dxfId="28" priority="17" stopIfTrue="1"/>
  </conditionalFormatting>
  <conditionalFormatting sqref="B331">
    <cfRule type="duplicateValues" dxfId="27" priority="12" stopIfTrue="1"/>
    <cfRule type="duplicateValues" dxfId="26" priority="13" stopIfTrue="1"/>
  </conditionalFormatting>
  <conditionalFormatting sqref="B337:B338">
    <cfRule type="duplicateValues" dxfId="25" priority="10" stopIfTrue="1"/>
    <cfRule type="duplicateValues" dxfId="24" priority="11" stopIfTrue="1"/>
  </conditionalFormatting>
  <conditionalFormatting sqref="B338">
    <cfRule type="duplicateValues" dxfId="23" priority="8" stopIfTrue="1"/>
    <cfRule type="duplicateValues" dxfId="22" priority="9" stopIfTrue="1"/>
  </conditionalFormatting>
  <conditionalFormatting sqref="B71:B76">
    <cfRule type="duplicateValues" dxfId="21" priority="5" stopIfTrue="1"/>
  </conditionalFormatting>
  <conditionalFormatting sqref="B181:B187">
    <cfRule type="duplicateValues" dxfId="20" priority="3" stopIfTrue="1"/>
    <cfRule type="duplicateValues" dxfId="19" priority="4" stopIfTrue="1"/>
  </conditionalFormatting>
  <conditionalFormatting sqref="B743:B64799 B12:B740">
    <cfRule type="duplicateValues" dxfId="18" priority="186" stopIfTrue="1"/>
  </conditionalFormatting>
  <conditionalFormatting sqref="B7:B10">
    <cfRule type="duplicateValues" dxfId="17" priority="191" stopIfTrue="1"/>
  </conditionalFormatting>
  <conditionalFormatting sqref="B12:B70">
    <cfRule type="duplicateValues" dxfId="16" priority="195" stopIfTrue="1"/>
  </conditionalFormatting>
  <conditionalFormatting sqref="B79:B86">
    <cfRule type="duplicateValues" dxfId="15" priority="211" stopIfTrue="1"/>
  </conditionalFormatting>
  <conditionalFormatting sqref="B87:B110">
    <cfRule type="duplicateValues" dxfId="14" priority="218" stopIfTrue="1"/>
  </conditionalFormatting>
  <conditionalFormatting sqref="B113:B120">
    <cfRule type="duplicateValues" dxfId="13" priority="228" stopIfTrue="1"/>
  </conditionalFormatting>
  <conditionalFormatting sqref="B122:B180">
    <cfRule type="duplicateValues" dxfId="12" priority="328" stopIfTrue="1"/>
    <cfRule type="duplicateValues" dxfId="11" priority="329" stopIfTrue="1"/>
  </conditionalFormatting>
  <conditionalFormatting sqref="B191:B222">
    <cfRule type="duplicateValues" dxfId="10" priority="330" stopIfTrue="1"/>
  </conditionalFormatting>
  <conditionalFormatting sqref="B225:B261">
    <cfRule type="duplicateValues" dxfId="9" priority="365" stopIfTrue="1"/>
  </conditionalFormatting>
  <conditionalFormatting sqref="B277:B328">
    <cfRule type="duplicateValues" dxfId="8" priority="429" stopIfTrue="1"/>
    <cfRule type="duplicateValues" dxfId="7" priority="430" stopIfTrue="1"/>
  </conditionalFormatting>
  <conditionalFormatting sqref="B332:B373">
    <cfRule type="duplicateValues" dxfId="6" priority="621" stopIfTrue="1"/>
  </conditionalFormatting>
  <conditionalFormatting sqref="B546:B560">
    <cfRule type="duplicateValues" dxfId="5" priority="766" stopIfTrue="1"/>
  </conditionalFormatting>
  <conditionalFormatting sqref="B571:B594">
    <cfRule type="duplicateValues" dxfId="4" priority="932" stopIfTrue="1"/>
  </conditionalFormatting>
  <conditionalFormatting sqref="B601:B630">
    <cfRule type="duplicateValues" dxfId="3" priority="1004" stopIfTrue="1"/>
  </conditionalFormatting>
  <conditionalFormatting sqref="B667:B678">
    <cfRule type="duplicateValues" dxfId="2" priority="1113" stopIfTrue="1"/>
  </conditionalFormatting>
  <conditionalFormatting sqref="B679:B681">
    <cfRule type="duplicateValues" dxfId="1" priority="1182" stopIfTrue="1"/>
  </conditionalFormatting>
  <conditionalFormatting sqref="B1:B6">
    <cfRule type="duplicateValues" dxfId="0" priority="1" stopIfTrue="1"/>
  </conditionalFormatting>
  <pageMargins left="0.23622047244094499" right="0.23622047244094499" top="0.35433070866141703" bottom="0.35433070866141703" header="0.31496062992126" footer="0.31496062992126"/>
  <pageSetup paperSize="9" scale="74" orientation="portrait" r:id="rId1"/>
  <headerFooter>
    <oddHeader>&amp;C&amp;P</oddHeader>
  </headerFooter>
  <rowBreaks count="1" manualBreakCount="1">
    <brk id="7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SheetLayoutView="100" workbookViewId="0">
      <selection activeCell="C4" sqref="C4"/>
    </sheetView>
  </sheetViews>
  <sheetFormatPr defaultRowHeight="12.75"/>
  <cols>
    <col min="1" max="1" width="21.5703125" style="25" customWidth="1"/>
    <col min="2" max="2" width="9.140625" style="25"/>
    <col min="3" max="3" width="13.28515625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73"/>
      <c r="B1" s="174" t="s">
        <v>187</v>
      </c>
      <c r="C1" s="321" t="str">
        <f>Kadar.ode.!C1</f>
        <v>Општа болница Алексинац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5"/>
      <c r="O1" s="15"/>
      <c r="P1" s="15"/>
      <c r="Q1" s="15"/>
      <c r="R1" s="38"/>
      <c r="S1" s="15"/>
      <c r="T1" s="38"/>
      <c r="W1" s="16"/>
    </row>
    <row r="2" spans="1:23" s="13" customFormat="1" ht="15.75">
      <c r="A2" s="173"/>
      <c r="B2" s="174" t="s">
        <v>188</v>
      </c>
      <c r="C2" s="321">
        <f>Kadar.ode.!C2</f>
        <v>17862944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5"/>
      <c r="O2" s="15"/>
      <c r="P2" s="15"/>
      <c r="Q2" s="15"/>
      <c r="R2" s="38"/>
      <c r="S2" s="15"/>
      <c r="T2" s="38"/>
      <c r="W2" s="16"/>
    </row>
    <row r="3" spans="1:23" s="13" customFormat="1" ht="15.75">
      <c r="A3" s="173"/>
      <c r="B3" s="174" t="s">
        <v>189</v>
      </c>
      <c r="C3" s="1115">
        <f>Kadar.ode.!C3</f>
        <v>44927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5"/>
      <c r="O3" s="15"/>
      <c r="P3" s="15"/>
      <c r="Q3" s="15"/>
      <c r="R3" s="38"/>
      <c r="S3" s="15"/>
      <c r="T3" s="38"/>
      <c r="W3" s="16"/>
    </row>
    <row r="4" spans="1:23" s="13" customFormat="1" ht="15.75">
      <c r="A4" s="173"/>
      <c r="B4" s="174" t="s">
        <v>1815</v>
      </c>
      <c r="C4" s="322" t="s">
        <v>315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6"/>
      <c r="O4" s="15"/>
      <c r="P4" s="15"/>
      <c r="Q4" s="15"/>
      <c r="R4" s="38"/>
      <c r="S4" s="15"/>
      <c r="T4" s="38"/>
      <c r="W4" s="16"/>
    </row>
    <row r="5" spans="1:23" s="13" customFormat="1" ht="10.5" customHeight="1">
      <c r="A5" s="55"/>
      <c r="C5" s="83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38"/>
      <c r="S5" s="15"/>
      <c r="T5" s="38"/>
      <c r="W5" s="16"/>
    </row>
    <row r="6" spans="1:23" ht="55.5" customHeight="1">
      <c r="A6" s="1838" t="s">
        <v>55</v>
      </c>
      <c r="B6" s="1837" t="s">
        <v>195</v>
      </c>
      <c r="C6" s="1837" t="s">
        <v>30</v>
      </c>
      <c r="D6" s="1837" t="s">
        <v>31</v>
      </c>
      <c r="E6" s="1837" t="s">
        <v>197</v>
      </c>
      <c r="F6" s="1837"/>
      <c r="G6" s="1837"/>
      <c r="H6" s="1837"/>
      <c r="I6" s="1837"/>
      <c r="J6" s="1837"/>
      <c r="K6" s="1837"/>
      <c r="L6" s="1837"/>
      <c r="M6" s="1837"/>
      <c r="N6" s="1837"/>
      <c r="O6" s="1837"/>
      <c r="P6" s="1837" t="s">
        <v>194</v>
      </c>
      <c r="Q6" s="1837"/>
      <c r="R6" s="1837"/>
    </row>
    <row r="7" spans="1:23" s="43" customFormat="1" ht="88.5" customHeight="1">
      <c r="A7" s="1838"/>
      <c r="B7" s="1837"/>
      <c r="C7" s="1837"/>
      <c r="D7" s="1837"/>
      <c r="E7" s="65" t="s">
        <v>139</v>
      </c>
      <c r="F7" s="236" t="s">
        <v>190</v>
      </c>
      <c r="G7" s="236" t="s">
        <v>191</v>
      </c>
      <c r="H7" s="65" t="s">
        <v>205</v>
      </c>
      <c r="I7" s="65" t="s">
        <v>206</v>
      </c>
      <c r="J7" s="65" t="s">
        <v>198</v>
      </c>
      <c r="K7" s="65" t="s">
        <v>199</v>
      </c>
      <c r="L7" s="65" t="s">
        <v>200</v>
      </c>
      <c r="M7" s="65" t="s">
        <v>140</v>
      </c>
      <c r="N7" s="65" t="s">
        <v>201</v>
      </c>
      <c r="O7" s="65" t="s">
        <v>202</v>
      </c>
      <c r="P7" s="65" t="s">
        <v>134</v>
      </c>
      <c r="Q7" s="65" t="s">
        <v>135</v>
      </c>
      <c r="R7" s="65" t="s">
        <v>136</v>
      </c>
    </row>
    <row r="8" spans="1:23" ht="12" customHeight="1">
      <c r="A8" s="69" t="s">
        <v>138</v>
      </c>
      <c r="B8" s="69"/>
      <c r="C8" s="69"/>
      <c r="D8" s="69"/>
      <c r="E8" s="71"/>
      <c r="F8" s="71"/>
      <c r="G8" s="71"/>
      <c r="H8" s="64"/>
      <c r="I8" s="70">
        <f t="shared" ref="I8:I17" si="0">E8-H8</f>
        <v>0</v>
      </c>
      <c r="J8" s="71"/>
      <c r="K8" s="64"/>
      <c r="L8" s="70">
        <f t="shared" ref="L8:L17" si="1">J8-K8</f>
        <v>0</v>
      </c>
      <c r="M8" s="57"/>
      <c r="N8" s="64"/>
      <c r="O8" s="70">
        <f t="shared" ref="O8:O17" si="2">M8-N8</f>
        <v>0</v>
      </c>
      <c r="P8" s="72"/>
      <c r="Q8" s="72"/>
      <c r="R8" s="72"/>
    </row>
    <row r="9" spans="1:23" ht="12" customHeight="1">
      <c r="A9" s="69"/>
      <c r="B9" s="69"/>
      <c r="C9" s="69"/>
      <c r="D9" s="69"/>
      <c r="E9" s="57"/>
      <c r="F9" s="71"/>
      <c r="G9" s="71"/>
      <c r="H9" s="64"/>
      <c r="I9" s="70">
        <f t="shared" si="0"/>
        <v>0</v>
      </c>
      <c r="J9" s="71"/>
      <c r="K9" s="64"/>
      <c r="L9" s="70">
        <f t="shared" si="1"/>
        <v>0</v>
      </c>
      <c r="M9" s="57"/>
      <c r="N9" s="64"/>
      <c r="O9" s="70">
        <f t="shared" si="2"/>
        <v>0</v>
      </c>
      <c r="P9" s="72"/>
      <c r="Q9" s="72"/>
      <c r="R9" s="72"/>
    </row>
    <row r="10" spans="1:23" ht="12" customHeight="1">
      <c r="A10" s="175"/>
      <c r="B10" s="69"/>
      <c r="C10" s="69"/>
      <c r="D10" s="69"/>
      <c r="E10" s="57"/>
      <c r="F10" s="71"/>
      <c r="G10" s="71"/>
      <c r="H10" s="64"/>
      <c r="I10" s="70">
        <f t="shared" si="0"/>
        <v>0</v>
      </c>
      <c r="J10" s="71"/>
      <c r="K10" s="64"/>
      <c r="L10" s="70">
        <f t="shared" si="1"/>
        <v>0</v>
      </c>
      <c r="M10" s="57"/>
      <c r="N10" s="64"/>
      <c r="O10" s="70">
        <f t="shared" si="2"/>
        <v>0</v>
      </c>
      <c r="P10" s="72"/>
      <c r="Q10" s="72"/>
      <c r="R10" s="72"/>
    </row>
    <row r="11" spans="1:23" ht="12" customHeight="1">
      <c r="A11" s="69"/>
      <c r="B11" s="69"/>
      <c r="C11" s="69"/>
      <c r="D11" s="69"/>
      <c r="E11" s="69"/>
      <c r="F11" s="237"/>
      <c r="G11" s="237"/>
      <c r="H11" s="64"/>
      <c r="I11" s="70">
        <f t="shared" si="0"/>
        <v>0</v>
      </c>
      <c r="J11" s="69"/>
      <c r="K11" s="64"/>
      <c r="L11" s="70">
        <f t="shared" si="1"/>
        <v>0</v>
      </c>
      <c r="M11" s="69"/>
      <c r="N11" s="64"/>
      <c r="O11" s="70">
        <f t="shared" si="2"/>
        <v>0</v>
      </c>
      <c r="P11" s="72"/>
      <c r="Q11" s="72"/>
      <c r="R11" s="72"/>
    </row>
    <row r="12" spans="1:23" ht="12" customHeight="1">
      <c r="A12" s="69"/>
      <c r="B12" s="69"/>
      <c r="C12" s="69"/>
      <c r="D12" s="69"/>
      <c r="E12" s="69"/>
      <c r="F12" s="237"/>
      <c r="G12" s="237"/>
      <c r="H12" s="64"/>
      <c r="I12" s="70">
        <f t="shared" si="0"/>
        <v>0</v>
      </c>
      <c r="J12" s="69"/>
      <c r="K12" s="64"/>
      <c r="L12" s="70">
        <f t="shared" si="1"/>
        <v>0</v>
      </c>
      <c r="M12" s="69"/>
      <c r="N12" s="64"/>
      <c r="O12" s="70">
        <f t="shared" si="2"/>
        <v>0</v>
      </c>
      <c r="P12" s="72"/>
      <c r="Q12" s="72"/>
      <c r="R12" s="72"/>
    </row>
    <row r="13" spans="1:23" ht="12" customHeight="1">
      <c r="A13" s="69"/>
      <c r="B13" s="69"/>
      <c r="C13" s="69"/>
      <c r="D13" s="69"/>
      <c r="E13" s="69"/>
      <c r="F13" s="237"/>
      <c r="G13" s="237"/>
      <c r="H13" s="64"/>
      <c r="I13" s="70">
        <f t="shared" si="0"/>
        <v>0</v>
      </c>
      <c r="J13" s="69"/>
      <c r="K13" s="64"/>
      <c r="L13" s="70">
        <f t="shared" si="1"/>
        <v>0</v>
      </c>
      <c r="M13" s="69"/>
      <c r="N13" s="64"/>
      <c r="O13" s="70">
        <f t="shared" si="2"/>
        <v>0</v>
      </c>
      <c r="P13" s="72"/>
      <c r="Q13" s="72"/>
      <c r="R13" s="72"/>
    </row>
    <row r="14" spans="1:23" ht="12" customHeight="1">
      <c r="A14" s="69"/>
      <c r="B14" s="69"/>
      <c r="C14" s="69"/>
      <c r="D14" s="69"/>
      <c r="E14" s="69"/>
      <c r="F14" s="237"/>
      <c r="G14" s="237"/>
      <c r="H14" s="64"/>
      <c r="I14" s="70">
        <f t="shared" si="0"/>
        <v>0</v>
      </c>
      <c r="J14" s="69"/>
      <c r="K14" s="64"/>
      <c r="L14" s="70">
        <f t="shared" si="1"/>
        <v>0</v>
      </c>
      <c r="M14" s="69"/>
      <c r="N14" s="64"/>
      <c r="O14" s="70">
        <f t="shared" si="2"/>
        <v>0</v>
      </c>
      <c r="P14" s="72"/>
      <c r="Q14" s="72"/>
      <c r="R14" s="72"/>
    </row>
    <row r="15" spans="1:23" ht="12" customHeight="1">
      <c r="A15" s="69"/>
      <c r="B15" s="69"/>
      <c r="C15" s="69"/>
      <c r="D15" s="69"/>
      <c r="E15" s="69"/>
      <c r="F15" s="237"/>
      <c r="G15" s="237"/>
      <c r="H15" s="64"/>
      <c r="I15" s="70">
        <f t="shared" si="0"/>
        <v>0</v>
      </c>
      <c r="J15" s="69"/>
      <c r="K15" s="64"/>
      <c r="L15" s="70">
        <f t="shared" si="1"/>
        <v>0</v>
      </c>
      <c r="M15" s="69"/>
      <c r="N15" s="64"/>
      <c r="O15" s="70">
        <f t="shared" si="2"/>
        <v>0</v>
      </c>
      <c r="P15" s="72"/>
      <c r="Q15" s="72"/>
      <c r="R15" s="72"/>
    </row>
    <row r="16" spans="1:23" ht="12" customHeight="1">
      <c r="A16" s="69"/>
      <c r="B16" s="69"/>
      <c r="C16" s="69"/>
      <c r="D16" s="69"/>
      <c r="E16" s="69"/>
      <c r="F16" s="237"/>
      <c r="G16" s="237"/>
      <c r="H16" s="64"/>
      <c r="I16" s="70">
        <f t="shared" si="0"/>
        <v>0</v>
      </c>
      <c r="J16" s="69"/>
      <c r="K16" s="64"/>
      <c r="L16" s="70">
        <f t="shared" si="1"/>
        <v>0</v>
      </c>
      <c r="M16" s="69"/>
      <c r="N16" s="64"/>
      <c r="O16" s="70">
        <f t="shared" si="2"/>
        <v>0</v>
      </c>
      <c r="P16" s="72"/>
      <c r="Q16" s="72"/>
      <c r="R16" s="72"/>
    </row>
    <row r="17" spans="1:18" ht="12" customHeight="1">
      <c r="A17" s="69"/>
      <c r="B17" s="69"/>
      <c r="C17" s="69"/>
      <c r="D17" s="69"/>
      <c r="E17" s="69"/>
      <c r="F17" s="237"/>
      <c r="G17" s="237"/>
      <c r="H17" s="64"/>
      <c r="I17" s="70">
        <f t="shared" si="0"/>
        <v>0</v>
      </c>
      <c r="J17" s="69"/>
      <c r="K17" s="64"/>
      <c r="L17" s="70">
        <f t="shared" si="1"/>
        <v>0</v>
      </c>
      <c r="M17" s="69"/>
      <c r="N17" s="64"/>
      <c r="O17" s="70">
        <f t="shared" si="2"/>
        <v>0</v>
      </c>
      <c r="P17" s="72"/>
      <c r="Q17" s="72"/>
      <c r="R17" s="72"/>
    </row>
    <row r="18" spans="1:18" s="44" customFormat="1" ht="12" customHeight="1">
      <c r="A18" s="199" t="s">
        <v>2</v>
      </c>
      <c r="B18" s="199"/>
      <c r="C18" s="199"/>
      <c r="D18" s="199"/>
      <c r="E18" s="199">
        <f t="shared" ref="E18:R18" si="3">SUM(E8:E17)</f>
        <v>0</v>
      </c>
      <c r="F18" s="199">
        <f t="shared" si="3"/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199">
        <f t="shared" si="3"/>
        <v>0</v>
      </c>
      <c r="R18" s="199">
        <f t="shared" si="3"/>
        <v>0</v>
      </c>
    </row>
    <row r="19" spans="1:18">
      <c r="A19" s="68" t="s">
        <v>196</v>
      </c>
    </row>
    <row r="20" spans="1:18" s="29" customFormat="1" ht="27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8" s="29" customFormat="1" ht="17.2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8">
      <c r="A22" s="62"/>
      <c r="B22" s="62"/>
      <c r="C22" s="62"/>
      <c r="D22" s="62"/>
      <c r="E22" s="63"/>
      <c r="F22" s="63"/>
      <c r="G22" s="63"/>
      <c r="H22" s="63"/>
      <c r="I22" s="63"/>
      <c r="J22" s="63"/>
      <c r="K22" s="63"/>
      <c r="L22" s="63"/>
      <c r="M22" s="62"/>
      <c r="N22" s="62"/>
      <c r="O22" s="62"/>
      <c r="R22" s="53"/>
    </row>
    <row r="23" spans="1:18">
      <c r="A23" s="62"/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2"/>
      <c r="N23" s="62"/>
      <c r="O23" s="62"/>
    </row>
    <row r="24" spans="1:18">
      <c r="A24" s="62"/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62"/>
      <c r="N24" s="62"/>
      <c r="O24" s="62"/>
    </row>
  </sheetData>
  <mergeCells count="6">
    <mergeCell ref="P6:R6"/>
    <mergeCell ref="A6:A7"/>
    <mergeCell ref="B6:B7"/>
    <mergeCell ref="C6:C7"/>
    <mergeCell ref="D6:D7"/>
    <mergeCell ref="E6:O6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SheetLayoutView="100" workbookViewId="0">
      <selection activeCell="D8" sqref="D8:W21"/>
    </sheetView>
  </sheetViews>
  <sheetFormatPr defaultRowHeight="15.75"/>
  <cols>
    <col min="1" max="1" width="30.42578125" style="13" customWidth="1"/>
    <col min="2" max="2" width="6.7109375" style="16" customWidth="1"/>
    <col min="3" max="3" width="10.57031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73"/>
      <c r="B1" s="174" t="s">
        <v>187</v>
      </c>
      <c r="C1" s="321" t="str">
        <f>Kadar.ode.!C1</f>
        <v>Општа болница Алексинац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/>
    </row>
    <row r="2" spans="1:23">
      <c r="A2" s="173"/>
      <c r="B2" s="174" t="s">
        <v>188</v>
      </c>
      <c r="C2" s="321">
        <f>Kadar.ode.!C2</f>
        <v>17862944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5"/>
    </row>
    <row r="3" spans="1:23">
      <c r="A3" s="173"/>
      <c r="B3" s="174" t="s">
        <v>189</v>
      </c>
      <c r="C3" s="1115">
        <f>Kadar.ode.!C3</f>
        <v>44927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5"/>
    </row>
    <row r="4" spans="1:23">
      <c r="A4" s="173"/>
      <c r="B4" s="174" t="s">
        <v>1816</v>
      </c>
      <c r="C4" s="322" t="s">
        <v>316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6"/>
    </row>
    <row r="5" spans="1:23" ht="9" customHeight="1">
      <c r="A5" s="55"/>
      <c r="B5" s="13"/>
      <c r="C5" s="5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1839" t="s">
        <v>313</v>
      </c>
      <c r="B6" s="1840" t="s">
        <v>32</v>
      </c>
      <c r="C6" s="1832" t="s">
        <v>184</v>
      </c>
      <c r="D6" s="1841" t="s">
        <v>197</v>
      </c>
      <c r="E6" s="1841"/>
      <c r="F6" s="1841"/>
      <c r="G6" s="1841"/>
      <c r="H6" s="1841"/>
      <c r="I6" s="1841"/>
      <c r="J6" s="1841"/>
      <c r="K6" s="1841"/>
      <c r="L6" s="1841"/>
      <c r="M6" s="1841"/>
      <c r="N6" s="1841"/>
      <c r="O6" s="1841"/>
      <c r="P6" s="1841"/>
      <c r="Q6" s="1841"/>
      <c r="R6" s="1841"/>
      <c r="S6" s="1841"/>
      <c r="T6" s="1841" t="s">
        <v>194</v>
      </c>
      <c r="U6" s="1841"/>
      <c r="V6" s="1841"/>
      <c r="W6" s="1841"/>
    </row>
    <row r="7" spans="1:23" s="45" customFormat="1" ht="66" customHeight="1">
      <c r="A7" s="1839"/>
      <c r="B7" s="1840"/>
      <c r="C7" s="1832"/>
      <c r="D7" s="997" t="s">
        <v>139</v>
      </c>
      <c r="E7" s="997" t="s">
        <v>207</v>
      </c>
      <c r="F7" s="995" t="s">
        <v>190</v>
      </c>
      <c r="G7" s="995" t="s">
        <v>191</v>
      </c>
      <c r="H7" s="997" t="s">
        <v>328</v>
      </c>
      <c r="I7" s="194" t="s">
        <v>58</v>
      </c>
      <c r="J7" s="995" t="s">
        <v>329</v>
      </c>
      <c r="K7" s="195" t="s">
        <v>65</v>
      </c>
      <c r="L7" s="195" t="s">
        <v>208</v>
      </c>
      <c r="M7" s="195" t="s">
        <v>328</v>
      </c>
      <c r="N7" s="194" t="s">
        <v>58</v>
      </c>
      <c r="O7" s="995" t="s">
        <v>329</v>
      </c>
      <c r="P7" s="997" t="s">
        <v>65</v>
      </c>
      <c r="Q7" s="196" t="s">
        <v>209</v>
      </c>
      <c r="R7" s="196" t="s">
        <v>137</v>
      </c>
      <c r="S7" s="196" t="s">
        <v>29</v>
      </c>
      <c r="T7" s="997" t="s">
        <v>134</v>
      </c>
      <c r="U7" s="997" t="s">
        <v>312</v>
      </c>
      <c r="V7" s="997" t="s">
        <v>141</v>
      </c>
      <c r="W7" s="997" t="s">
        <v>136</v>
      </c>
    </row>
    <row r="8" spans="1:23">
      <c r="A8" s="176" t="s">
        <v>33</v>
      </c>
      <c r="B8" s="57"/>
      <c r="C8" s="71"/>
      <c r="D8" s="57">
        <v>2</v>
      </c>
      <c r="E8" s="57"/>
      <c r="F8" s="71"/>
      <c r="G8" s="71">
        <v>2</v>
      </c>
      <c r="H8" s="57">
        <v>2</v>
      </c>
      <c r="I8" s="57">
        <v>1</v>
      </c>
      <c r="J8" s="64">
        <v>3</v>
      </c>
      <c r="K8" s="74">
        <v>-1</v>
      </c>
      <c r="L8" s="57">
        <v>10</v>
      </c>
      <c r="M8" s="57">
        <v>4</v>
      </c>
      <c r="N8" s="57">
        <v>2</v>
      </c>
      <c r="O8" s="64">
        <v>6</v>
      </c>
      <c r="P8" s="75">
        <v>0</v>
      </c>
      <c r="Q8" s="76"/>
      <c r="R8" s="76"/>
      <c r="S8" s="75">
        <v>0</v>
      </c>
      <c r="T8" s="79"/>
      <c r="U8" s="79"/>
      <c r="V8" s="79"/>
      <c r="W8" s="79"/>
    </row>
    <row r="9" spans="1:23">
      <c r="A9" s="176" t="s">
        <v>34</v>
      </c>
      <c r="B9" s="57"/>
      <c r="C9" s="71"/>
      <c r="D9" s="57"/>
      <c r="E9" s="57"/>
      <c r="F9" s="71"/>
      <c r="G9" s="71"/>
      <c r="H9" s="57"/>
      <c r="I9" s="57"/>
      <c r="J9" s="64">
        <v>0</v>
      </c>
      <c r="K9" s="74">
        <v>0</v>
      </c>
      <c r="L9" s="57"/>
      <c r="M9" s="57"/>
      <c r="N9" s="57"/>
      <c r="O9" s="64">
        <v>0</v>
      </c>
      <c r="P9" s="75">
        <v>0</v>
      </c>
      <c r="Q9" s="76"/>
      <c r="R9" s="76"/>
      <c r="S9" s="75">
        <v>0</v>
      </c>
      <c r="T9" s="79"/>
      <c r="U9" s="79"/>
      <c r="V9" s="79"/>
      <c r="W9" s="79"/>
    </row>
    <row r="10" spans="1:23">
      <c r="A10" s="176" t="s">
        <v>35</v>
      </c>
      <c r="B10" s="57"/>
      <c r="C10" s="71"/>
      <c r="D10" s="57"/>
      <c r="E10" s="57"/>
      <c r="F10" s="71"/>
      <c r="G10" s="71"/>
      <c r="H10" s="57"/>
      <c r="I10" s="57"/>
      <c r="J10" s="64">
        <v>0</v>
      </c>
      <c r="K10" s="74">
        <v>0</v>
      </c>
      <c r="L10" s="57"/>
      <c r="M10" s="57"/>
      <c r="N10" s="57"/>
      <c r="O10" s="64">
        <v>0</v>
      </c>
      <c r="P10" s="75">
        <v>0</v>
      </c>
      <c r="Q10" s="76"/>
      <c r="R10" s="76"/>
      <c r="S10" s="75">
        <v>0</v>
      </c>
      <c r="T10" s="79"/>
      <c r="U10" s="79"/>
      <c r="V10" s="79"/>
      <c r="W10" s="79"/>
    </row>
    <row r="11" spans="1:23" ht="24">
      <c r="A11" s="176" t="s">
        <v>36</v>
      </c>
      <c r="B11" s="57"/>
      <c r="C11" s="71"/>
      <c r="D11" s="57">
        <v>3</v>
      </c>
      <c r="E11" s="57"/>
      <c r="F11" s="71"/>
      <c r="G11" s="71">
        <v>2</v>
      </c>
      <c r="H11" s="57">
        <v>2</v>
      </c>
      <c r="I11" s="57">
        <v>1</v>
      </c>
      <c r="J11" s="64">
        <v>3</v>
      </c>
      <c r="K11" s="74">
        <v>-1</v>
      </c>
      <c r="L11" s="57">
        <v>15</v>
      </c>
      <c r="M11" s="57">
        <v>11</v>
      </c>
      <c r="N11" s="57">
        <v>7</v>
      </c>
      <c r="O11" s="64">
        <v>18</v>
      </c>
      <c r="P11" s="75">
        <v>-6</v>
      </c>
      <c r="Q11" s="76"/>
      <c r="R11" s="76"/>
      <c r="S11" s="75">
        <v>0</v>
      </c>
      <c r="T11" s="79"/>
      <c r="U11" s="79"/>
      <c r="V11" s="79"/>
      <c r="W11" s="79"/>
    </row>
    <row r="12" spans="1:23">
      <c r="A12" s="176" t="s">
        <v>37</v>
      </c>
      <c r="B12" s="57"/>
      <c r="C12" s="71"/>
      <c r="D12" s="57">
        <v>1</v>
      </c>
      <c r="E12" s="57"/>
      <c r="F12" s="71"/>
      <c r="G12" s="71">
        <v>1</v>
      </c>
      <c r="H12" s="57">
        <v>1</v>
      </c>
      <c r="I12" s="57"/>
      <c r="J12" s="64">
        <v>1</v>
      </c>
      <c r="K12" s="74">
        <v>0</v>
      </c>
      <c r="L12" s="57">
        <v>4</v>
      </c>
      <c r="M12" s="57">
        <v>2</v>
      </c>
      <c r="N12" s="57"/>
      <c r="O12" s="64">
        <v>2</v>
      </c>
      <c r="P12" s="75">
        <v>2</v>
      </c>
      <c r="Q12" s="76"/>
      <c r="R12" s="76"/>
      <c r="S12" s="75">
        <v>0</v>
      </c>
      <c r="T12" s="79"/>
      <c r="U12" s="79"/>
      <c r="V12" s="79"/>
      <c r="W12" s="79"/>
    </row>
    <row r="13" spans="1:23" ht="24">
      <c r="A13" s="176" t="s">
        <v>38</v>
      </c>
      <c r="B13" s="57"/>
      <c r="C13" s="71"/>
      <c r="D13" s="57"/>
      <c r="E13" s="57"/>
      <c r="F13" s="71"/>
      <c r="G13" s="71"/>
      <c r="H13" s="57"/>
      <c r="I13" s="57"/>
      <c r="J13" s="64">
        <v>0</v>
      </c>
      <c r="K13" s="74">
        <v>0</v>
      </c>
      <c r="L13" s="57"/>
      <c r="M13" s="57"/>
      <c r="N13" s="57"/>
      <c r="O13" s="64">
        <v>0</v>
      </c>
      <c r="P13" s="75">
        <v>0</v>
      </c>
      <c r="Q13" s="76"/>
      <c r="R13" s="76"/>
      <c r="S13" s="75">
        <v>0</v>
      </c>
      <c r="T13" s="79"/>
      <c r="U13" s="79"/>
      <c r="V13" s="79"/>
      <c r="W13" s="79"/>
    </row>
    <row r="14" spans="1:23">
      <c r="A14" s="176" t="s">
        <v>39</v>
      </c>
      <c r="B14" s="57"/>
      <c r="C14" s="71"/>
      <c r="D14" s="57">
        <v>4</v>
      </c>
      <c r="E14" s="57"/>
      <c r="F14" s="71"/>
      <c r="G14" s="71">
        <v>4</v>
      </c>
      <c r="H14" s="57">
        <v>4</v>
      </c>
      <c r="I14" s="57"/>
      <c r="J14" s="64">
        <v>4</v>
      </c>
      <c r="K14" s="74">
        <v>0</v>
      </c>
      <c r="L14" s="57">
        <v>6</v>
      </c>
      <c r="M14" s="57">
        <v>6</v>
      </c>
      <c r="N14" s="57"/>
      <c r="O14" s="64">
        <v>8</v>
      </c>
      <c r="P14" s="75">
        <v>0</v>
      </c>
      <c r="Q14" s="76"/>
      <c r="R14" s="76"/>
      <c r="S14" s="75">
        <v>0</v>
      </c>
      <c r="T14" s="79"/>
      <c r="U14" s="79"/>
      <c r="V14" s="79"/>
      <c r="W14" s="79"/>
    </row>
    <row r="15" spans="1:23">
      <c r="A15" s="176" t="s">
        <v>40</v>
      </c>
      <c r="B15" s="57"/>
      <c r="C15" s="71"/>
      <c r="D15" s="57">
        <v>1</v>
      </c>
      <c r="E15" s="57"/>
      <c r="F15" s="71">
        <v>1</v>
      </c>
      <c r="G15" s="71"/>
      <c r="H15" s="57">
        <v>1</v>
      </c>
      <c r="I15" s="57"/>
      <c r="J15" s="64">
        <v>1</v>
      </c>
      <c r="K15" s="74">
        <v>0</v>
      </c>
      <c r="L15" s="57">
        <v>3</v>
      </c>
      <c r="M15" s="57">
        <v>2</v>
      </c>
      <c r="N15" s="57"/>
      <c r="O15" s="64">
        <v>2</v>
      </c>
      <c r="P15" s="75">
        <v>1</v>
      </c>
      <c r="Q15" s="76"/>
      <c r="R15" s="76"/>
      <c r="S15" s="75">
        <v>0</v>
      </c>
      <c r="T15" s="79"/>
      <c r="U15" s="79"/>
      <c r="V15" s="79"/>
      <c r="W15" s="79"/>
    </row>
    <row r="16" spans="1:23">
      <c r="A16" s="176" t="s">
        <v>41</v>
      </c>
      <c r="B16" s="57"/>
      <c r="C16" s="71"/>
      <c r="D16" s="57"/>
      <c r="E16" s="57"/>
      <c r="F16" s="71"/>
      <c r="G16" s="71"/>
      <c r="H16" s="57"/>
      <c r="I16" s="57"/>
      <c r="J16" s="64">
        <v>0</v>
      </c>
      <c r="K16" s="74">
        <v>0</v>
      </c>
      <c r="L16" s="57"/>
      <c r="M16" s="57"/>
      <c r="N16" s="57"/>
      <c r="O16" s="64">
        <v>0</v>
      </c>
      <c r="P16" s="75">
        <v>0</v>
      </c>
      <c r="Q16" s="76"/>
      <c r="R16" s="76"/>
      <c r="S16" s="75">
        <v>0</v>
      </c>
      <c r="T16" s="79"/>
      <c r="U16" s="79"/>
      <c r="V16" s="79"/>
      <c r="W16" s="79"/>
    </row>
    <row r="17" spans="1:23" ht="24">
      <c r="A17" s="176" t="s">
        <v>42</v>
      </c>
      <c r="B17" s="57"/>
      <c r="C17" s="71"/>
      <c r="D17" s="57">
        <v>2</v>
      </c>
      <c r="E17" s="57"/>
      <c r="F17" s="71"/>
      <c r="G17" s="71">
        <v>2</v>
      </c>
      <c r="H17" s="57">
        <v>2</v>
      </c>
      <c r="I17" s="57"/>
      <c r="J17" s="64">
        <v>2</v>
      </c>
      <c r="K17" s="74">
        <v>0</v>
      </c>
      <c r="L17" s="57">
        <v>12</v>
      </c>
      <c r="M17" s="57">
        <v>4</v>
      </c>
      <c r="N17" s="57">
        <v>6</v>
      </c>
      <c r="O17" s="64">
        <v>10</v>
      </c>
      <c r="P17" s="75">
        <v>-1</v>
      </c>
      <c r="Q17" s="76"/>
      <c r="R17" s="76"/>
      <c r="S17" s="75">
        <v>0</v>
      </c>
      <c r="T17" s="79"/>
      <c r="U17" s="79"/>
      <c r="V17" s="79"/>
      <c r="W17" s="79"/>
    </row>
    <row r="18" spans="1:23" ht="24">
      <c r="A18" s="176" t="s">
        <v>43</v>
      </c>
      <c r="B18" s="57"/>
      <c r="C18" s="71"/>
      <c r="D18" s="57"/>
      <c r="E18" s="57">
        <v>1</v>
      </c>
      <c r="F18" s="71"/>
      <c r="G18" s="71"/>
      <c r="H18" s="57">
        <v>1</v>
      </c>
      <c r="I18" s="57"/>
      <c r="J18" s="64">
        <v>1</v>
      </c>
      <c r="K18" s="74">
        <v>0</v>
      </c>
      <c r="L18" s="57">
        <v>2</v>
      </c>
      <c r="M18" s="57">
        <v>1</v>
      </c>
      <c r="N18" s="57"/>
      <c r="O18" s="64">
        <v>1</v>
      </c>
      <c r="P18" s="75">
        <v>1</v>
      </c>
      <c r="Q18" s="76"/>
      <c r="R18" s="76"/>
      <c r="S18" s="75">
        <v>0</v>
      </c>
      <c r="T18" s="79"/>
      <c r="U18" s="79"/>
      <c r="V18" s="79"/>
      <c r="W18" s="79"/>
    </row>
    <row r="19" spans="1:23">
      <c r="A19" s="176" t="s">
        <v>142</v>
      </c>
      <c r="B19" s="57"/>
      <c r="C19" s="71"/>
      <c r="D19" s="57"/>
      <c r="E19" s="57"/>
      <c r="F19" s="71"/>
      <c r="G19" s="71"/>
      <c r="H19" s="57"/>
      <c r="I19" s="57"/>
      <c r="J19" s="64">
        <v>0</v>
      </c>
      <c r="K19" s="74">
        <v>0</v>
      </c>
      <c r="L19" s="57"/>
      <c r="M19" s="57"/>
      <c r="N19" s="57"/>
      <c r="O19" s="64">
        <v>0</v>
      </c>
      <c r="P19" s="75">
        <v>0</v>
      </c>
      <c r="Q19" s="76"/>
      <c r="R19" s="76"/>
      <c r="S19" s="75">
        <v>0</v>
      </c>
      <c r="T19" s="79"/>
      <c r="U19" s="79"/>
      <c r="V19" s="79"/>
      <c r="W19" s="79"/>
    </row>
    <row r="20" spans="1:23" ht="24.75">
      <c r="A20" s="177" t="s">
        <v>44</v>
      </c>
      <c r="B20" s="57"/>
      <c r="C20" s="71"/>
      <c r="D20" s="57"/>
      <c r="E20" s="57"/>
      <c r="F20" s="71"/>
      <c r="G20" s="71"/>
      <c r="H20" s="57"/>
      <c r="I20" s="57"/>
      <c r="J20" s="64">
        <v>0</v>
      </c>
      <c r="K20" s="74">
        <v>0</v>
      </c>
      <c r="L20" s="66"/>
      <c r="M20" s="57"/>
      <c r="N20" s="57"/>
      <c r="O20" s="64">
        <v>0</v>
      </c>
      <c r="P20" s="75">
        <v>0</v>
      </c>
      <c r="Q20" s="76"/>
      <c r="R20" s="76"/>
      <c r="S20" s="75">
        <v>0</v>
      </c>
      <c r="T20" s="79"/>
      <c r="U20" s="79"/>
      <c r="V20" s="79"/>
      <c r="W20" s="79"/>
    </row>
    <row r="21" spans="1:23" ht="24.75">
      <c r="A21" s="177" t="s">
        <v>45</v>
      </c>
      <c r="B21" s="57"/>
      <c r="C21" s="71"/>
      <c r="D21" s="57"/>
      <c r="E21" s="57"/>
      <c r="F21" s="71"/>
      <c r="G21" s="71"/>
      <c r="H21" s="57"/>
      <c r="I21" s="57"/>
      <c r="J21" s="64">
        <v>0</v>
      </c>
      <c r="K21" s="74">
        <v>0</v>
      </c>
      <c r="L21" s="66"/>
      <c r="M21" s="57"/>
      <c r="N21" s="57"/>
      <c r="O21" s="64">
        <v>0</v>
      </c>
      <c r="P21" s="75">
        <v>0</v>
      </c>
      <c r="Q21" s="76"/>
      <c r="R21" s="76"/>
      <c r="S21" s="75">
        <v>0</v>
      </c>
      <c r="T21" s="79"/>
      <c r="U21" s="79"/>
      <c r="V21" s="79"/>
      <c r="W21" s="79"/>
    </row>
    <row r="22" spans="1:23" ht="20.25" customHeight="1">
      <c r="A22" s="198" t="s">
        <v>87</v>
      </c>
      <c r="B22" s="64"/>
      <c r="C22" s="64"/>
      <c r="D22" s="64">
        <f>SUM(D8:D21)</f>
        <v>13</v>
      </c>
      <c r="E22" s="64">
        <f t="shared" ref="E22:W22" si="0">SUM(E8:E21)</f>
        <v>1</v>
      </c>
      <c r="F22" s="64">
        <f t="shared" si="0"/>
        <v>1</v>
      </c>
      <c r="G22" s="64">
        <f t="shared" si="0"/>
        <v>11</v>
      </c>
      <c r="H22" s="64">
        <f t="shared" si="0"/>
        <v>13</v>
      </c>
      <c r="I22" s="64">
        <f t="shared" si="0"/>
        <v>2</v>
      </c>
      <c r="J22" s="64">
        <f t="shared" si="0"/>
        <v>15</v>
      </c>
      <c r="K22" s="74">
        <f t="shared" si="0"/>
        <v>-2</v>
      </c>
      <c r="L22" s="64">
        <f t="shared" si="0"/>
        <v>52</v>
      </c>
      <c r="M22" s="64">
        <f t="shared" si="0"/>
        <v>30</v>
      </c>
      <c r="N22" s="64">
        <f t="shared" si="0"/>
        <v>15</v>
      </c>
      <c r="O22" s="64">
        <f t="shared" si="0"/>
        <v>47</v>
      </c>
      <c r="P22" s="75">
        <f t="shared" si="0"/>
        <v>-3</v>
      </c>
      <c r="Q22" s="199">
        <f t="shared" si="0"/>
        <v>0</v>
      </c>
      <c r="R22" s="199">
        <f t="shared" si="0"/>
        <v>0</v>
      </c>
      <c r="S22" s="75">
        <f t="shared" si="0"/>
        <v>0</v>
      </c>
      <c r="T22" s="64">
        <f t="shared" si="0"/>
        <v>0</v>
      </c>
      <c r="U22" s="64">
        <f t="shared" si="0"/>
        <v>0</v>
      </c>
      <c r="V22" s="64">
        <f t="shared" si="0"/>
        <v>0</v>
      </c>
      <c r="W22" s="64">
        <f t="shared" si="0"/>
        <v>0</v>
      </c>
    </row>
    <row r="23" spans="1:23" ht="15.75" customHeight="1">
      <c r="A23" s="78" t="s">
        <v>143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3"/>
      <c r="R23" s="73"/>
      <c r="S23" s="73"/>
      <c r="T23" s="73"/>
      <c r="U23" s="73"/>
      <c r="V23" s="73"/>
      <c r="W23" s="73"/>
    </row>
    <row r="24" spans="1:23">
      <c r="A24" s="23"/>
    </row>
  </sheetData>
  <mergeCells count="5">
    <mergeCell ref="A6:A7"/>
    <mergeCell ref="B6:B7"/>
    <mergeCell ref="C6:C7"/>
    <mergeCell ref="D6:S6"/>
    <mergeCell ref="T6:W6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workbookViewId="0">
      <selection activeCell="B13" sqref="B13:G14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73"/>
      <c r="B1" s="174" t="s">
        <v>187</v>
      </c>
      <c r="C1" s="321" t="str">
        <f>Kadar.ode.!C1</f>
        <v>Општа болница Алексинац</v>
      </c>
      <c r="D1" s="323"/>
      <c r="E1" s="323"/>
      <c r="F1" s="323"/>
      <c r="G1" s="325"/>
    </row>
    <row r="2" spans="1:9">
      <c r="A2" s="173"/>
      <c r="B2" s="174" t="s">
        <v>188</v>
      </c>
      <c r="C2" s="321">
        <f>Kadar.ode.!C2</f>
        <v>17862944</v>
      </c>
      <c r="D2" s="323"/>
      <c r="E2" s="323"/>
      <c r="F2" s="323"/>
      <c r="G2" s="325"/>
    </row>
    <row r="3" spans="1:9">
      <c r="A3" s="173"/>
      <c r="B3" s="174" t="s">
        <v>189</v>
      </c>
      <c r="C3" s="1115">
        <f>Kadar.ode.!C3</f>
        <v>44927</v>
      </c>
      <c r="D3" s="323"/>
      <c r="E3" s="323"/>
      <c r="F3" s="323"/>
      <c r="G3" s="325"/>
    </row>
    <row r="4" spans="1:9" ht="14.25">
      <c r="A4" s="173"/>
      <c r="B4" s="174" t="s">
        <v>1817</v>
      </c>
      <c r="C4" s="322" t="s">
        <v>317</v>
      </c>
      <c r="D4" s="324"/>
      <c r="E4" s="324"/>
      <c r="F4" s="324"/>
      <c r="G4" s="326"/>
    </row>
    <row r="5" spans="1:9" ht="12" customHeight="1">
      <c r="A5" s="55"/>
      <c r="B5" s="13"/>
      <c r="C5" s="54"/>
      <c r="D5" s="42"/>
    </row>
    <row r="6" spans="1:9" ht="21.75" customHeight="1">
      <c r="A6" s="1842" t="s">
        <v>32</v>
      </c>
      <c r="B6" s="1842"/>
      <c r="C6" s="80"/>
      <c r="D6" s="80"/>
      <c r="E6" s="80"/>
      <c r="F6" s="80"/>
    </row>
    <row r="7" spans="1:9">
      <c r="A7" s="81" t="s">
        <v>144</v>
      </c>
      <c r="B7" s="1014"/>
      <c r="C7" s="80"/>
      <c r="D7" s="80"/>
      <c r="E7" s="80"/>
      <c r="F7" s="80"/>
    </row>
    <row r="8" spans="1:9">
      <c r="A8" s="81" t="s">
        <v>145</v>
      </c>
      <c r="B8" s="1014"/>
      <c r="C8" s="80"/>
      <c r="D8" s="80"/>
      <c r="E8" s="80"/>
      <c r="F8" s="80"/>
    </row>
    <row r="9" spans="1:9">
      <c r="A9" s="81" t="s">
        <v>87</v>
      </c>
      <c r="B9" s="1014"/>
      <c r="C9" s="80"/>
      <c r="D9" s="80"/>
      <c r="E9" s="80"/>
      <c r="F9" s="80"/>
    </row>
    <row r="10" spans="1:9">
      <c r="A10" s="80"/>
      <c r="B10" s="80"/>
      <c r="C10" s="80"/>
      <c r="D10" s="80"/>
      <c r="E10" s="80"/>
      <c r="F10" s="80"/>
      <c r="G10" s="80"/>
      <c r="H10" s="80"/>
      <c r="I10" s="1015"/>
    </row>
    <row r="11" spans="1:9" ht="57.75" customHeight="1">
      <c r="A11" s="1837" t="s">
        <v>46</v>
      </c>
      <c r="B11" s="1843" t="s">
        <v>197</v>
      </c>
      <c r="C11" s="1843"/>
      <c r="D11" s="1843"/>
      <c r="E11" s="1843"/>
      <c r="F11" s="1843"/>
      <c r="G11" s="1843"/>
      <c r="H11" s="1843" t="s">
        <v>194</v>
      </c>
      <c r="I11" s="1843"/>
    </row>
    <row r="12" spans="1:9" ht="54.75" customHeight="1">
      <c r="A12" s="1837"/>
      <c r="B12" s="1016" t="s">
        <v>210</v>
      </c>
      <c r="C12" s="1016" t="s">
        <v>49</v>
      </c>
      <c r="D12" s="1016" t="s">
        <v>29</v>
      </c>
      <c r="E12" s="1016" t="s">
        <v>211</v>
      </c>
      <c r="F12" s="1016" t="s">
        <v>49</v>
      </c>
      <c r="G12" s="1016" t="s">
        <v>29</v>
      </c>
      <c r="H12" s="1016" t="s">
        <v>47</v>
      </c>
      <c r="I12" s="1016" t="s">
        <v>50</v>
      </c>
    </row>
    <row r="13" spans="1:9">
      <c r="A13" s="197" t="s">
        <v>1867</v>
      </c>
      <c r="B13" s="1017">
        <v>10</v>
      </c>
      <c r="C13" s="1017">
        <v>13</v>
      </c>
      <c r="D13" s="1018">
        <v>0</v>
      </c>
      <c r="E13" s="1019">
        <v>31</v>
      </c>
      <c r="F13" s="1020">
        <v>44</v>
      </c>
      <c r="G13" s="1018">
        <v>-9</v>
      </c>
      <c r="H13" s="1019"/>
      <c r="I13" s="1020"/>
    </row>
    <row r="14" spans="1:9">
      <c r="A14" s="197" t="s">
        <v>48</v>
      </c>
      <c r="B14" s="1017"/>
      <c r="C14" s="1017"/>
      <c r="D14" s="1018">
        <v>0</v>
      </c>
      <c r="E14" s="1019">
        <v>4</v>
      </c>
      <c r="F14" s="1020">
        <v>2</v>
      </c>
      <c r="G14" s="1018">
        <v>2</v>
      </c>
      <c r="H14" s="1019"/>
      <c r="I14" s="1020">
        <v>0</v>
      </c>
    </row>
    <row r="15" spans="1:9">
      <c r="A15" s="197"/>
      <c r="B15" s="1017"/>
      <c r="C15" s="1017"/>
      <c r="D15" s="1018">
        <v>0</v>
      </c>
      <c r="E15" s="1019"/>
      <c r="F15" s="1020"/>
      <c r="G15" s="1018">
        <v>0</v>
      </c>
      <c r="H15" s="1019"/>
      <c r="I15" s="1020"/>
    </row>
    <row r="16" spans="1:9">
      <c r="A16" s="197"/>
      <c r="B16" s="1017"/>
      <c r="C16" s="1017"/>
      <c r="D16" s="1018">
        <v>0</v>
      </c>
      <c r="E16" s="1019"/>
      <c r="F16" s="1020"/>
      <c r="G16" s="1018">
        <v>0</v>
      </c>
      <c r="H16" s="1019"/>
      <c r="I16" s="1020"/>
    </row>
    <row r="17" spans="1:9">
      <c r="A17" s="197"/>
      <c r="B17" s="1017"/>
      <c r="C17" s="1017"/>
      <c r="D17" s="1018">
        <v>0</v>
      </c>
      <c r="E17" s="1019"/>
      <c r="F17" s="1020"/>
      <c r="G17" s="1018">
        <v>0</v>
      </c>
      <c r="H17" s="1019"/>
      <c r="I17" s="1020"/>
    </row>
    <row r="18" spans="1:9">
      <c r="A18" s="197"/>
      <c r="B18" s="1017"/>
      <c r="C18" s="1017"/>
      <c r="D18" s="1018">
        <v>0</v>
      </c>
      <c r="E18" s="1019"/>
      <c r="F18" s="1020"/>
      <c r="G18" s="1018">
        <v>0</v>
      </c>
      <c r="H18" s="1019"/>
      <c r="I18" s="1020"/>
    </row>
    <row r="19" spans="1:9">
      <c r="A19" s="197"/>
      <c r="B19" s="1017"/>
      <c r="C19" s="1017"/>
      <c r="D19" s="1018">
        <v>0</v>
      </c>
      <c r="E19" s="1019"/>
      <c r="F19" s="1020"/>
      <c r="G19" s="1018">
        <v>0</v>
      </c>
      <c r="H19" s="1019"/>
      <c r="I19" s="1020"/>
    </row>
    <row r="20" spans="1:9">
      <c r="A20" s="197"/>
      <c r="B20" s="1017"/>
      <c r="C20" s="1017"/>
      <c r="D20" s="1018">
        <v>0</v>
      </c>
      <c r="E20" s="1019"/>
      <c r="F20" s="1020"/>
      <c r="G20" s="1018">
        <v>0</v>
      </c>
      <c r="H20" s="1019"/>
      <c r="I20" s="1020"/>
    </row>
    <row r="21" spans="1:9" s="1022" customFormat="1">
      <c r="A21" s="1021"/>
      <c r="B21" s="1017"/>
      <c r="C21" s="1017"/>
      <c r="D21" s="1018">
        <v>0</v>
      </c>
      <c r="E21" s="1019"/>
      <c r="F21" s="1020"/>
      <c r="G21" s="1018">
        <v>0</v>
      </c>
      <c r="H21" s="1019"/>
      <c r="I21" s="1020"/>
    </row>
    <row r="22" spans="1:9" s="1022" customFormat="1">
      <c r="A22" s="1021"/>
      <c r="B22" s="1017"/>
      <c r="C22" s="1017"/>
      <c r="D22" s="1018">
        <v>0</v>
      </c>
      <c r="E22" s="1019"/>
      <c r="F22" s="1020"/>
      <c r="G22" s="1018">
        <v>0</v>
      </c>
      <c r="H22" s="1019"/>
      <c r="I22" s="1020"/>
    </row>
    <row r="23" spans="1:9" s="1022" customFormat="1">
      <c r="A23" s="1023" t="s">
        <v>2</v>
      </c>
      <c r="B23" s="1014">
        <f>SUM(B13:B22)</f>
        <v>10</v>
      </c>
      <c r="C23" s="1014">
        <f>SUM(C13:C22)</f>
        <v>13</v>
      </c>
      <c r="D23" s="1024">
        <f>B23-C23</f>
        <v>-3</v>
      </c>
      <c r="E23" s="1014">
        <f>SUM(E13:E22)</f>
        <v>35</v>
      </c>
      <c r="F23" s="1014">
        <f>SUM(F13:F22)</f>
        <v>46</v>
      </c>
      <c r="G23" s="1024">
        <f>E23-F23</f>
        <v>-11</v>
      </c>
      <c r="H23" s="1014">
        <f>SUM(H13:H22)</f>
        <v>0</v>
      </c>
      <c r="I23" s="1014">
        <f>SUM(I13:I22)</f>
        <v>0</v>
      </c>
    </row>
  </sheetData>
  <mergeCells count="4">
    <mergeCell ref="A6:B6"/>
    <mergeCell ref="A11:A12"/>
    <mergeCell ref="B11:G11"/>
    <mergeCell ref="H11:I11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SheetLayoutView="100" workbookViewId="0">
      <selection activeCell="C3" sqref="C3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73"/>
      <c r="B1" s="174" t="s">
        <v>187</v>
      </c>
      <c r="C1" s="321" t="str">
        <f>Kadar.ode.!C1</f>
        <v>Општа болница Алексинац</v>
      </c>
      <c r="D1" s="323"/>
      <c r="E1" s="323"/>
      <c r="F1" s="323"/>
      <c r="G1" s="339"/>
      <c r="H1" s="350"/>
      <c r="I1" s="346"/>
      <c r="J1" s="343"/>
      <c r="K1" s="343"/>
      <c r="L1" s="46"/>
      <c r="M1" s="46"/>
      <c r="N1" s="46"/>
      <c r="O1" s="46"/>
      <c r="P1" s="46"/>
      <c r="Q1" s="46"/>
    </row>
    <row r="2" spans="1:17">
      <c r="A2" s="173"/>
      <c r="B2" s="174" t="s">
        <v>188</v>
      </c>
      <c r="C2" s="321">
        <f>Kadar.ode.!C2</f>
        <v>17862944</v>
      </c>
      <c r="D2" s="323"/>
      <c r="E2" s="323"/>
      <c r="F2" s="323"/>
      <c r="G2" s="338"/>
      <c r="H2" s="350"/>
      <c r="I2" s="347"/>
      <c r="J2" s="343"/>
      <c r="K2" s="340"/>
      <c r="L2" s="46"/>
      <c r="M2" s="46"/>
    </row>
    <row r="3" spans="1:17">
      <c r="A3" s="173"/>
      <c r="B3" s="174" t="s">
        <v>189</v>
      </c>
      <c r="C3" s="1115">
        <f>Kadar.ode.!C3</f>
        <v>44927</v>
      </c>
      <c r="D3" s="323"/>
      <c r="E3" s="323"/>
      <c r="F3" s="323"/>
      <c r="G3" s="323"/>
      <c r="H3" s="350"/>
      <c r="I3" s="347"/>
      <c r="J3" s="343"/>
      <c r="K3" s="340"/>
      <c r="L3" s="46"/>
      <c r="M3" s="46"/>
      <c r="N3" s="46"/>
      <c r="O3" s="46"/>
      <c r="P3" s="46"/>
      <c r="Q3" s="46"/>
    </row>
    <row r="4" spans="1:17" ht="14.25">
      <c r="A4" s="173"/>
      <c r="B4" s="174" t="s">
        <v>1818</v>
      </c>
      <c r="C4" s="322" t="s">
        <v>212</v>
      </c>
      <c r="D4" s="324"/>
      <c r="E4" s="324"/>
      <c r="F4" s="324"/>
      <c r="G4" s="324"/>
      <c r="H4" s="351"/>
      <c r="I4" s="348"/>
      <c r="J4" s="344"/>
      <c r="K4" s="341"/>
      <c r="L4" s="46"/>
      <c r="M4" s="46"/>
      <c r="N4" s="46"/>
      <c r="O4" s="46"/>
      <c r="P4" s="46"/>
      <c r="Q4" s="46"/>
    </row>
    <row r="5" spans="1:17">
      <c r="A5" s="337"/>
      <c r="B5" s="337"/>
      <c r="C5" s="337"/>
      <c r="D5" s="337"/>
      <c r="E5" s="337"/>
      <c r="F5" s="337"/>
      <c r="G5" s="356"/>
      <c r="H5" s="352"/>
      <c r="I5" s="349"/>
      <c r="J5" s="345"/>
      <c r="K5" s="342"/>
      <c r="L5" s="47"/>
      <c r="M5" s="47"/>
      <c r="N5" s="47"/>
      <c r="O5" s="47"/>
      <c r="P5" s="47"/>
      <c r="Q5" s="47"/>
    </row>
    <row r="6" spans="1:17" ht="193.5" customHeight="1" thickBot="1">
      <c r="A6" s="353"/>
      <c r="B6" s="353"/>
      <c r="C6" s="354" t="s">
        <v>1854</v>
      </c>
      <c r="D6" s="354" t="s">
        <v>49</v>
      </c>
      <c r="E6" s="354" t="s">
        <v>65</v>
      </c>
      <c r="F6" s="354" t="s">
        <v>194</v>
      </c>
      <c r="G6" s="354" t="s">
        <v>213</v>
      </c>
      <c r="H6" s="361" t="s">
        <v>1857</v>
      </c>
      <c r="I6" s="361" t="s">
        <v>1856</v>
      </c>
      <c r="J6" s="355" t="s">
        <v>1855</v>
      </c>
      <c r="K6" s="336" t="s">
        <v>1853</v>
      </c>
      <c r="L6" s="47"/>
      <c r="M6" s="47"/>
      <c r="N6" s="47"/>
      <c r="O6" s="47"/>
      <c r="P6" s="47"/>
      <c r="Q6" s="47"/>
    </row>
    <row r="7" spans="1:17" ht="6" customHeight="1" thickTop="1" thickBot="1">
      <c r="A7" s="48"/>
      <c r="B7" s="48"/>
      <c r="C7" s="48"/>
      <c r="D7" s="48"/>
      <c r="E7" s="48"/>
      <c r="F7" s="48"/>
      <c r="G7" s="48"/>
      <c r="H7" s="48"/>
      <c r="I7" s="359"/>
      <c r="J7" s="360"/>
      <c r="K7" s="358"/>
      <c r="L7" s="47"/>
      <c r="M7" s="47"/>
      <c r="N7" s="47"/>
      <c r="O7" s="47"/>
      <c r="P7" s="47"/>
      <c r="Q7" s="47"/>
    </row>
    <row r="8" spans="1:17" ht="16.5" thickTop="1" thickBot="1">
      <c r="A8" s="357" t="s">
        <v>59</v>
      </c>
      <c r="B8" s="48"/>
      <c r="C8" s="48">
        <f>SUM(Kadar.ode.!I25,Kadar.dne.bol.dij.!E18,Kadar.zaj.med.del.!D22)</f>
        <v>59</v>
      </c>
      <c r="D8" s="82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55</v>
      </c>
      <c r="E8" s="82">
        <f t="shared" ref="E8:E13" si="0">C8-D8</f>
        <v>4</v>
      </c>
      <c r="F8" s="48">
        <f>SUM(Kadar.ode.!AD25,Kadar.dne.bol.dij.!P18,Kadar.zaj.med.del.!T22)</f>
        <v>0</v>
      </c>
      <c r="G8" s="48">
        <f t="shared" ref="G8:G13" si="1">SUM(C8,F8)</f>
        <v>59</v>
      </c>
      <c r="H8" s="48">
        <v>0</v>
      </c>
      <c r="I8" s="335">
        <v>0</v>
      </c>
      <c r="J8" s="335">
        <v>0</v>
      </c>
      <c r="K8" s="335">
        <f>C8+J8</f>
        <v>59</v>
      </c>
      <c r="L8" s="47"/>
      <c r="M8" s="47"/>
      <c r="N8" s="47"/>
      <c r="O8" s="47"/>
      <c r="P8" s="47"/>
      <c r="Q8" s="47"/>
    </row>
    <row r="9" spans="1:17" ht="16.5" thickTop="1" thickBot="1">
      <c r="A9" s="357" t="s">
        <v>60</v>
      </c>
      <c r="B9" s="48"/>
      <c r="C9" s="48">
        <f>SUM(Kadar.zaj.med.del.!E22)</f>
        <v>1</v>
      </c>
      <c r="D9" s="48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1</v>
      </c>
      <c r="E9" s="48">
        <f t="shared" si="0"/>
        <v>0</v>
      </c>
      <c r="F9" s="48">
        <f>SUM(Kadar.zaj.med.del.!U22)</f>
        <v>0</v>
      </c>
      <c r="G9" s="48">
        <f t="shared" si="1"/>
        <v>1</v>
      </c>
      <c r="H9" s="48">
        <v>0</v>
      </c>
      <c r="I9" s="48">
        <v>0</v>
      </c>
      <c r="J9" s="335">
        <v>0</v>
      </c>
      <c r="K9" s="48">
        <f t="shared" ref="K9:K14" si="2">C9+J9</f>
        <v>1</v>
      </c>
      <c r="L9" s="47"/>
      <c r="M9" s="47"/>
      <c r="N9" s="47"/>
      <c r="O9" s="47"/>
      <c r="P9" s="47"/>
      <c r="Q9" s="47"/>
    </row>
    <row r="10" spans="1:17" ht="31.5" thickTop="1" thickBot="1">
      <c r="A10" s="357" t="s">
        <v>61</v>
      </c>
      <c r="B10" s="48"/>
      <c r="C10" s="48">
        <f>SUM(Kadar.ode.!R25,Kadar.dne.bol.dij.!J18,Kadar.zaj.med.del.!L22)</f>
        <v>155</v>
      </c>
      <c r="D10" s="82">
        <f>SUM(Kadar.ode.!X25,Kadar.dne.bol.dij.!K18,Kadar.zaj.med.del.!O22)</f>
        <v>163</v>
      </c>
      <c r="E10" s="48">
        <f t="shared" si="0"/>
        <v>-8</v>
      </c>
      <c r="F10" s="48">
        <f>SUM(Kadar.ode.!AE25,Kadar.dne.bol.dij.!Q18,Kadar.zaj.med.del.!V22)</f>
        <v>0</v>
      </c>
      <c r="G10" s="48">
        <f t="shared" si="1"/>
        <v>155</v>
      </c>
      <c r="H10" s="48">
        <v>0</v>
      </c>
      <c r="I10" s="48">
        <v>0</v>
      </c>
      <c r="J10" s="335">
        <v>0</v>
      </c>
      <c r="K10" s="48">
        <f t="shared" si="2"/>
        <v>155</v>
      </c>
    </row>
    <row r="11" spans="1:17" ht="31.5" thickTop="1" thickBot="1">
      <c r="A11" s="357" t="s">
        <v>62</v>
      </c>
      <c r="B11" s="48"/>
      <c r="C11" s="48">
        <f>SUM(Kadar.ode.!Z25,Kadar.dne.bol.dij.!M18,Kadar.zaj.med.del.!Q22)</f>
        <v>2</v>
      </c>
      <c r="D11" s="48">
        <f>SUM(Kadar.ode.!AA25,Kadar.ode.!AB25,Kadar.dne.bol.dij.!N18,Kadar.zaj.med.del.!R22)</f>
        <v>3</v>
      </c>
      <c r="E11" s="48">
        <f t="shared" si="0"/>
        <v>-1</v>
      </c>
      <c r="F11" s="48">
        <f>SUM(Kadar.ode.!AF25,Kadar.dne.bol.dij.!R18,Kadar.zaj.med.del.!W22)</f>
        <v>0</v>
      </c>
      <c r="G11" s="48">
        <f t="shared" si="1"/>
        <v>2</v>
      </c>
      <c r="H11" s="48">
        <v>0</v>
      </c>
      <c r="I11" s="48">
        <v>0</v>
      </c>
      <c r="J11" s="335">
        <v>0</v>
      </c>
      <c r="K11" s="48">
        <f t="shared" si="2"/>
        <v>2</v>
      </c>
    </row>
    <row r="12" spans="1:17" ht="46.5" thickTop="1" thickBot="1">
      <c r="A12" s="357" t="s">
        <v>63</v>
      </c>
      <c r="B12" s="48"/>
      <c r="C12" s="48">
        <f>SUM(Kadar.nem.!B23)</f>
        <v>10</v>
      </c>
      <c r="D12" s="48">
        <f>SUM(Kadar.nem.!C23)</f>
        <v>13</v>
      </c>
      <c r="E12" s="48">
        <f t="shared" si="0"/>
        <v>-3</v>
      </c>
      <c r="F12" s="48">
        <f>SUM(Kadar.nem.!H23)</f>
        <v>0</v>
      </c>
      <c r="G12" s="48">
        <f t="shared" si="1"/>
        <v>10</v>
      </c>
      <c r="H12" s="48">
        <v>0</v>
      </c>
      <c r="I12" s="48">
        <v>0</v>
      </c>
      <c r="J12" s="335">
        <v>0</v>
      </c>
      <c r="K12" s="48">
        <f t="shared" si="2"/>
        <v>10</v>
      </c>
    </row>
    <row r="13" spans="1:17" ht="46.5" thickTop="1" thickBot="1">
      <c r="A13" s="357" t="s">
        <v>64</v>
      </c>
      <c r="B13" s="48"/>
      <c r="C13" s="48">
        <f>SUM(Kadar.nem.!E23)</f>
        <v>35</v>
      </c>
      <c r="D13" s="48">
        <f>SUM(Kadar.nem.!F23)</f>
        <v>46</v>
      </c>
      <c r="E13" s="48">
        <f t="shared" si="0"/>
        <v>-11</v>
      </c>
      <c r="F13" s="48">
        <f>SUM(Kadar.nem.!I23)</f>
        <v>0</v>
      </c>
      <c r="G13" s="48">
        <f t="shared" si="1"/>
        <v>35</v>
      </c>
      <c r="H13" s="48">
        <v>0</v>
      </c>
      <c r="I13" s="48">
        <v>0</v>
      </c>
      <c r="J13" s="335">
        <v>0</v>
      </c>
      <c r="K13" s="48">
        <f t="shared" si="2"/>
        <v>35</v>
      </c>
    </row>
    <row r="14" spans="1:17" ht="16.5" thickTop="1" thickBot="1">
      <c r="A14" s="357" t="s">
        <v>2</v>
      </c>
      <c r="B14" s="48"/>
      <c r="C14" s="48">
        <f>SUM(C8:C13)</f>
        <v>262</v>
      </c>
      <c r="D14" s="48">
        <f>SUM(D8:D13)</f>
        <v>281</v>
      </c>
      <c r="E14" s="48">
        <f>SUM(E8:E13)</f>
        <v>-19</v>
      </c>
      <c r="F14" s="48">
        <f>SUM(F8:F13)</f>
        <v>0</v>
      </c>
      <c r="G14" s="48">
        <f>SUM(G8:G13)</f>
        <v>262</v>
      </c>
      <c r="H14" s="48">
        <v>0</v>
      </c>
      <c r="I14" s="48">
        <v>0</v>
      </c>
      <c r="J14" s="335">
        <v>0</v>
      </c>
      <c r="K14" s="48">
        <f t="shared" si="2"/>
        <v>262</v>
      </c>
    </row>
    <row r="15" spans="1:17" ht="15.75" thickTop="1">
      <c r="A15" s="1844"/>
      <c r="B15" s="1845"/>
      <c r="C15" s="1845"/>
      <c r="D15" s="1845"/>
      <c r="E15" s="1845"/>
      <c r="F15" s="1845"/>
      <c r="G15" s="1845"/>
      <c r="H15" s="1845"/>
      <c r="I15" s="1845"/>
      <c r="J15" s="1845"/>
      <c r="K15" s="1845"/>
    </row>
    <row r="16" spans="1:17">
      <c r="A16" s="362"/>
    </row>
  </sheetData>
  <mergeCells count="1">
    <mergeCell ref="A15:K15"/>
  </mergeCells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SheetLayoutView="100" workbookViewId="0">
      <selection activeCell="B28" sqref="B28"/>
    </sheetView>
  </sheetViews>
  <sheetFormatPr defaultRowHeight="12.75"/>
  <cols>
    <col min="1" max="1" width="66.42578125" customWidth="1"/>
    <col min="2" max="2" width="26.7109375" customWidth="1"/>
    <col min="3" max="3" width="10.7109375" bestFit="1" customWidth="1"/>
    <col min="257" max="257" width="66.42578125" customWidth="1"/>
    <col min="258" max="258" width="26.7109375" customWidth="1"/>
    <col min="259" max="259" width="10.7109375" bestFit="1" customWidth="1"/>
    <col min="513" max="513" width="66.42578125" customWidth="1"/>
    <col min="514" max="514" width="26.7109375" customWidth="1"/>
    <col min="515" max="515" width="10.7109375" bestFit="1" customWidth="1"/>
    <col min="769" max="769" width="66.42578125" customWidth="1"/>
    <col min="770" max="770" width="26.7109375" customWidth="1"/>
    <col min="771" max="771" width="10.7109375" bestFit="1" customWidth="1"/>
    <col min="1025" max="1025" width="66.42578125" customWidth="1"/>
    <col min="1026" max="1026" width="26.7109375" customWidth="1"/>
    <col min="1027" max="1027" width="10.7109375" bestFit="1" customWidth="1"/>
    <col min="1281" max="1281" width="66.42578125" customWidth="1"/>
    <col min="1282" max="1282" width="26.7109375" customWidth="1"/>
    <col min="1283" max="1283" width="10.7109375" bestFit="1" customWidth="1"/>
    <col min="1537" max="1537" width="66.42578125" customWidth="1"/>
    <col min="1538" max="1538" width="26.7109375" customWidth="1"/>
    <col min="1539" max="1539" width="10.7109375" bestFit="1" customWidth="1"/>
    <col min="1793" max="1793" width="66.42578125" customWidth="1"/>
    <col min="1794" max="1794" width="26.7109375" customWidth="1"/>
    <col min="1795" max="1795" width="10.7109375" bestFit="1" customWidth="1"/>
    <col min="2049" max="2049" width="66.42578125" customWidth="1"/>
    <col min="2050" max="2050" width="26.7109375" customWidth="1"/>
    <col min="2051" max="2051" width="10.7109375" bestFit="1" customWidth="1"/>
    <col min="2305" max="2305" width="66.42578125" customWidth="1"/>
    <col min="2306" max="2306" width="26.7109375" customWidth="1"/>
    <col min="2307" max="2307" width="10.7109375" bestFit="1" customWidth="1"/>
    <col min="2561" max="2561" width="66.42578125" customWidth="1"/>
    <col min="2562" max="2562" width="26.7109375" customWidth="1"/>
    <col min="2563" max="2563" width="10.7109375" bestFit="1" customWidth="1"/>
    <col min="2817" max="2817" width="66.42578125" customWidth="1"/>
    <col min="2818" max="2818" width="26.7109375" customWidth="1"/>
    <col min="2819" max="2819" width="10.7109375" bestFit="1" customWidth="1"/>
    <col min="3073" max="3073" width="66.42578125" customWidth="1"/>
    <col min="3074" max="3074" width="26.7109375" customWidth="1"/>
    <col min="3075" max="3075" width="10.7109375" bestFit="1" customWidth="1"/>
    <col min="3329" max="3329" width="66.42578125" customWidth="1"/>
    <col min="3330" max="3330" width="26.7109375" customWidth="1"/>
    <col min="3331" max="3331" width="10.7109375" bestFit="1" customWidth="1"/>
    <col min="3585" max="3585" width="66.42578125" customWidth="1"/>
    <col min="3586" max="3586" width="26.7109375" customWidth="1"/>
    <col min="3587" max="3587" width="10.7109375" bestFit="1" customWidth="1"/>
    <col min="3841" max="3841" width="66.42578125" customWidth="1"/>
    <col min="3842" max="3842" width="26.7109375" customWidth="1"/>
    <col min="3843" max="3843" width="10.7109375" bestFit="1" customWidth="1"/>
    <col min="4097" max="4097" width="66.42578125" customWidth="1"/>
    <col min="4098" max="4098" width="26.7109375" customWidth="1"/>
    <col min="4099" max="4099" width="10.7109375" bestFit="1" customWidth="1"/>
    <col min="4353" max="4353" width="66.42578125" customWidth="1"/>
    <col min="4354" max="4354" width="26.7109375" customWidth="1"/>
    <col min="4355" max="4355" width="10.7109375" bestFit="1" customWidth="1"/>
    <col min="4609" max="4609" width="66.42578125" customWidth="1"/>
    <col min="4610" max="4610" width="26.7109375" customWidth="1"/>
    <col min="4611" max="4611" width="10.7109375" bestFit="1" customWidth="1"/>
    <col min="4865" max="4865" width="66.42578125" customWidth="1"/>
    <col min="4866" max="4866" width="26.7109375" customWidth="1"/>
    <col min="4867" max="4867" width="10.7109375" bestFit="1" customWidth="1"/>
    <col min="5121" max="5121" width="66.42578125" customWidth="1"/>
    <col min="5122" max="5122" width="26.7109375" customWidth="1"/>
    <col min="5123" max="5123" width="10.7109375" bestFit="1" customWidth="1"/>
    <col min="5377" max="5377" width="66.42578125" customWidth="1"/>
    <col min="5378" max="5378" width="26.7109375" customWidth="1"/>
    <col min="5379" max="5379" width="10.7109375" bestFit="1" customWidth="1"/>
    <col min="5633" max="5633" width="66.42578125" customWidth="1"/>
    <col min="5634" max="5634" width="26.7109375" customWidth="1"/>
    <col min="5635" max="5635" width="10.7109375" bestFit="1" customWidth="1"/>
    <col min="5889" max="5889" width="66.42578125" customWidth="1"/>
    <col min="5890" max="5890" width="26.7109375" customWidth="1"/>
    <col min="5891" max="5891" width="10.7109375" bestFit="1" customWidth="1"/>
    <col min="6145" max="6145" width="66.42578125" customWidth="1"/>
    <col min="6146" max="6146" width="26.7109375" customWidth="1"/>
    <col min="6147" max="6147" width="10.7109375" bestFit="1" customWidth="1"/>
    <col min="6401" max="6401" width="66.42578125" customWidth="1"/>
    <col min="6402" max="6402" width="26.7109375" customWidth="1"/>
    <col min="6403" max="6403" width="10.7109375" bestFit="1" customWidth="1"/>
    <col min="6657" max="6657" width="66.42578125" customWidth="1"/>
    <col min="6658" max="6658" width="26.7109375" customWidth="1"/>
    <col min="6659" max="6659" width="10.7109375" bestFit="1" customWidth="1"/>
    <col min="6913" max="6913" width="66.42578125" customWidth="1"/>
    <col min="6914" max="6914" width="26.7109375" customWidth="1"/>
    <col min="6915" max="6915" width="10.7109375" bestFit="1" customWidth="1"/>
    <col min="7169" max="7169" width="66.42578125" customWidth="1"/>
    <col min="7170" max="7170" width="26.7109375" customWidth="1"/>
    <col min="7171" max="7171" width="10.7109375" bestFit="1" customWidth="1"/>
    <col min="7425" max="7425" width="66.42578125" customWidth="1"/>
    <col min="7426" max="7426" width="26.7109375" customWidth="1"/>
    <col min="7427" max="7427" width="10.7109375" bestFit="1" customWidth="1"/>
    <col min="7681" max="7681" width="66.42578125" customWidth="1"/>
    <col min="7682" max="7682" width="26.7109375" customWidth="1"/>
    <col min="7683" max="7683" width="10.7109375" bestFit="1" customWidth="1"/>
    <col min="7937" max="7937" width="66.42578125" customWidth="1"/>
    <col min="7938" max="7938" width="26.7109375" customWidth="1"/>
    <col min="7939" max="7939" width="10.7109375" bestFit="1" customWidth="1"/>
    <col min="8193" max="8193" width="66.42578125" customWidth="1"/>
    <col min="8194" max="8194" width="26.7109375" customWidth="1"/>
    <col min="8195" max="8195" width="10.7109375" bestFit="1" customWidth="1"/>
    <col min="8449" max="8449" width="66.42578125" customWidth="1"/>
    <col min="8450" max="8450" width="26.7109375" customWidth="1"/>
    <col min="8451" max="8451" width="10.7109375" bestFit="1" customWidth="1"/>
    <col min="8705" max="8705" width="66.42578125" customWidth="1"/>
    <col min="8706" max="8706" width="26.7109375" customWidth="1"/>
    <col min="8707" max="8707" width="10.7109375" bestFit="1" customWidth="1"/>
    <col min="8961" max="8961" width="66.42578125" customWidth="1"/>
    <col min="8962" max="8962" width="26.7109375" customWidth="1"/>
    <col min="8963" max="8963" width="10.7109375" bestFit="1" customWidth="1"/>
    <col min="9217" max="9217" width="66.42578125" customWidth="1"/>
    <col min="9218" max="9218" width="26.7109375" customWidth="1"/>
    <col min="9219" max="9219" width="10.7109375" bestFit="1" customWidth="1"/>
    <col min="9473" max="9473" width="66.42578125" customWidth="1"/>
    <col min="9474" max="9474" width="26.7109375" customWidth="1"/>
    <col min="9475" max="9475" width="10.7109375" bestFit="1" customWidth="1"/>
    <col min="9729" max="9729" width="66.42578125" customWidth="1"/>
    <col min="9730" max="9730" width="26.7109375" customWidth="1"/>
    <col min="9731" max="9731" width="10.7109375" bestFit="1" customWidth="1"/>
    <col min="9985" max="9985" width="66.42578125" customWidth="1"/>
    <col min="9986" max="9986" width="26.7109375" customWidth="1"/>
    <col min="9987" max="9987" width="10.7109375" bestFit="1" customWidth="1"/>
    <col min="10241" max="10241" width="66.42578125" customWidth="1"/>
    <col min="10242" max="10242" width="26.7109375" customWidth="1"/>
    <col min="10243" max="10243" width="10.7109375" bestFit="1" customWidth="1"/>
    <col min="10497" max="10497" width="66.42578125" customWidth="1"/>
    <col min="10498" max="10498" width="26.7109375" customWidth="1"/>
    <col min="10499" max="10499" width="10.7109375" bestFit="1" customWidth="1"/>
    <col min="10753" max="10753" width="66.42578125" customWidth="1"/>
    <col min="10754" max="10754" width="26.7109375" customWidth="1"/>
    <col min="10755" max="10755" width="10.7109375" bestFit="1" customWidth="1"/>
    <col min="11009" max="11009" width="66.42578125" customWidth="1"/>
    <col min="11010" max="11010" width="26.7109375" customWidth="1"/>
    <col min="11011" max="11011" width="10.7109375" bestFit="1" customWidth="1"/>
    <col min="11265" max="11265" width="66.42578125" customWidth="1"/>
    <col min="11266" max="11266" width="26.7109375" customWidth="1"/>
    <col min="11267" max="11267" width="10.7109375" bestFit="1" customWidth="1"/>
    <col min="11521" max="11521" width="66.42578125" customWidth="1"/>
    <col min="11522" max="11522" width="26.7109375" customWidth="1"/>
    <col min="11523" max="11523" width="10.7109375" bestFit="1" customWidth="1"/>
    <col min="11777" max="11777" width="66.42578125" customWidth="1"/>
    <col min="11778" max="11778" width="26.7109375" customWidth="1"/>
    <col min="11779" max="11779" width="10.7109375" bestFit="1" customWidth="1"/>
    <col min="12033" max="12033" width="66.42578125" customWidth="1"/>
    <col min="12034" max="12034" width="26.7109375" customWidth="1"/>
    <col min="12035" max="12035" width="10.7109375" bestFit="1" customWidth="1"/>
    <col min="12289" max="12289" width="66.42578125" customWidth="1"/>
    <col min="12290" max="12290" width="26.7109375" customWidth="1"/>
    <col min="12291" max="12291" width="10.7109375" bestFit="1" customWidth="1"/>
    <col min="12545" max="12545" width="66.42578125" customWidth="1"/>
    <col min="12546" max="12546" width="26.7109375" customWidth="1"/>
    <col min="12547" max="12547" width="10.7109375" bestFit="1" customWidth="1"/>
    <col min="12801" max="12801" width="66.42578125" customWidth="1"/>
    <col min="12802" max="12802" width="26.7109375" customWidth="1"/>
    <col min="12803" max="12803" width="10.7109375" bestFit="1" customWidth="1"/>
    <col min="13057" max="13057" width="66.42578125" customWidth="1"/>
    <col min="13058" max="13058" width="26.7109375" customWidth="1"/>
    <col min="13059" max="13059" width="10.7109375" bestFit="1" customWidth="1"/>
    <col min="13313" max="13313" width="66.42578125" customWidth="1"/>
    <col min="13314" max="13314" width="26.7109375" customWidth="1"/>
    <col min="13315" max="13315" width="10.7109375" bestFit="1" customWidth="1"/>
    <col min="13569" max="13569" width="66.42578125" customWidth="1"/>
    <col min="13570" max="13570" width="26.7109375" customWidth="1"/>
    <col min="13571" max="13571" width="10.7109375" bestFit="1" customWidth="1"/>
    <col min="13825" max="13825" width="66.42578125" customWidth="1"/>
    <col min="13826" max="13826" width="26.7109375" customWidth="1"/>
    <col min="13827" max="13827" width="10.7109375" bestFit="1" customWidth="1"/>
    <col min="14081" max="14081" width="66.42578125" customWidth="1"/>
    <col min="14082" max="14082" width="26.7109375" customWidth="1"/>
    <col min="14083" max="14083" width="10.7109375" bestFit="1" customWidth="1"/>
    <col min="14337" max="14337" width="66.42578125" customWidth="1"/>
    <col min="14338" max="14338" width="26.7109375" customWidth="1"/>
    <col min="14339" max="14339" width="10.7109375" bestFit="1" customWidth="1"/>
    <col min="14593" max="14593" width="66.42578125" customWidth="1"/>
    <col min="14594" max="14594" width="26.7109375" customWidth="1"/>
    <col min="14595" max="14595" width="10.7109375" bestFit="1" customWidth="1"/>
    <col min="14849" max="14849" width="66.42578125" customWidth="1"/>
    <col min="14850" max="14850" width="26.7109375" customWidth="1"/>
    <col min="14851" max="14851" width="10.7109375" bestFit="1" customWidth="1"/>
    <col min="15105" max="15105" width="66.42578125" customWidth="1"/>
    <col min="15106" max="15106" width="26.7109375" customWidth="1"/>
    <col min="15107" max="15107" width="10.7109375" bestFit="1" customWidth="1"/>
    <col min="15361" max="15361" width="66.42578125" customWidth="1"/>
    <col min="15362" max="15362" width="26.7109375" customWidth="1"/>
    <col min="15363" max="15363" width="10.7109375" bestFit="1" customWidth="1"/>
    <col min="15617" max="15617" width="66.42578125" customWidth="1"/>
    <col min="15618" max="15618" width="26.7109375" customWidth="1"/>
    <col min="15619" max="15619" width="10.7109375" bestFit="1" customWidth="1"/>
    <col min="15873" max="15873" width="66.42578125" customWidth="1"/>
    <col min="15874" max="15874" width="26.7109375" customWidth="1"/>
    <col min="15875" max="15875" width="10.7109375" bestFit="1" customWidth="1"/>
    <col min="16129" max="16129" width="66.42578125" customWidth="1"/>
    <col min="16130" max="16130" width="26.7109375" customWidth="1"/>
    <col min="16131" max="16131" width="10.7109375" bestFit="1" customWidth="1"/>
  </cols>
  <sheetData>
    <row r="1" spans="1:14">
      <c r="A1" s="977"/>
      <c r="B1" s="978" t="s">
        <v>187</v>
      </c>
      <c r="C1" s="321" t="s">
        <v>1869</v>
      </c>
      <c r="D1" s="323"/>
      <c r="E1" s="323"/>
      <c r="F1" s="323"/>
      <c r="G1" s="323"/>
      <c r="H1" s="325"/>
    </row>
    <row r="2" spans="1:14">
      <c r="A2" s="977"/>
      <c r="B2" s="978" t="s">
        <v>188</v>
      </c>
      <c r="C2" s="321">
        <v>17862944</v>
      </c>
      <c r="D2" s="323"/>
      <c r="E2" s="323"/>
      <c r="F2" s="323"/>
      <c r="G2" s="323"/>
      <c r="H2" s="325"/>
    </row>
    <row r="3" spans="1:14">
      <c r="A3" s="977"/>
      <c r="B3" s="978"/>
      <c r="C3" s="321"/>
      <c r="D3" s="323"/>
      <c r="E3" s="323"/>
      <c r="F3" s="323"/>
      <c r="G3" s="323"/>
      <c r="H3" s="325"/>
    </row>
    <row r="4" spans="1:14" ht="15">
      <c r="A4" s="979"/>
      <c r="B4" s="980" t="s">
        <v>3895</v>
      </c>
      <c r="C4" s="981" t="s">
        <v>3896</v>
      </c>
      <c r="D4" s="981"/>
      <c r="E4" s="981"/>
      <c r="F4" s="982"/>
      <c r="G4" s="982"/>
      <c r="H4" s="983"/>
    </row>
    <row r="5" spans="1:14" ht="14.25">
      <c r="A5" s="984"/>
      <c r="B5" s="985"/>
      <c r="I5" s="322"/>
      <c r="J5" s="324"/>
      <c r="K5" s="324"/>
      <c r="L5" s="324"/>
      <c r="M5" s="324"/>
      <c r="N5" s="326"/>
    </row>
    <row r="7" spans="1:14" ht="15">
      <c r="A7" s="986" t="s">
        <v>4070</v>
      </c>
      <c r="B7" s="986" t="s">
        <v>3897</v>
      </c>
    </row>
    <row r="8" spans="1:14" ht="15">
      <c r="A8" s="987" t="s">
        <v>3898</v>
      </c>
      <c r="B8" s="987">
        <v>200</v>
      </c>
    </row>
    <row r="9" spans="1:14" ht="15">
      <c r="A9" s="988" t="s">
        <v>3899</v>
      </c>
      <c r="B9" s="987">
        <v>100</v>
      </c>
    </row>
    <row r="10" spans="1:14" ht="30">
      <c r="A10" s="987" t="s">
        <v>3900</v>
      </c>
      <c r="B10" s="987">
        <v>0</v>
      </c>
    </row>
    <row r="11" spans="1:14" ht="30">
      <c r="A11" s="987" t="s">
        <v>3901</v>
      </c>
      <c r="B11" s="987">
        <v>0</v>
      </c>
    </row>
    <row r="12" spans="1:14" ht="30">
      <c r="A12" s="987" t="s">
        <v>3902</v>
      </c>
      <c r="B12" s="987">
        <v>0</v>
      </c>
    </row>
    <row r="13" spans="1:14" ht="30">
      <c r="A13" s="987" t="s">
        <v>3903</v>
      </c>
      <c r="B13" s="987">
        <v>0</v>
      </c>
    </row>
    <row r="14" spans="1:14" ht="15">
      <c r="A14" s="987" t="s">
        <v>3904</v>
      </c>
      <c r="B14" s="987">
        <v>200</v>
      </c>
    </row>
    <row r="15" spans="1:14" ht="15">
      <c r="A15" s="987" t="s">
        <v>3905</v>
      </c>
      <c r="B15" s="987">
        <v>1</v>
      </c>
    </row>
    <row r="16" spans="1:14" ht="30">
      <c r="A16" s="988" t="s">
        <v>3906</v>
      </c>
      <c r="B16" s="987">
        <v>200</v>
      </c>
    </row>
    <row r="17" spans="1:2" ht="15">
      <c r="A17" s="989" t="s">
        <v>3907</v>
      </c>
      <c r="B17" s="990">
        <v>0</v>
      </c>
    </row>
    <row r="18" spans="1:2" ht="30">
      <c r="A18" s="989" t="s">
        <v>3908</v>
      </c>
      <c r="B18" s="990">
        <v>0</v>
      </c>
    </row>
  </sheetData>
  <pageMargins left="0.23622047244094491" right="0.23622047244094491" top="0.35433070866141736" bottom="0.35433070866141736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5"/>
  <sheetViews>
    <sheetView view="pageBreakPreview" zoomScaleSheetLayoutView="100" workbookViewId="0">
      <selection activeCell="N23" sqref="N23"/>
    </sheetView>
  </sheetViews>
  <sheetFormatPr defaultRowHeight="12.75"/>
  <cols>
    <col min="1" max="1" width="7.5703125" customWidth="1"/>
    <col min="2" max="2" width="26.7109375" customWidth="1"/>
    <col min="3" max="3" width="10.7109375" bestFit="1" customWidth="1"/>
    <col min="4" max="8" width="9.28515625" bestFit="1" customWidth="1"/>
    <col min="9" max="12" width="12" bestFit="1" customWidth="1"/>
  </cols>
  <sheetData>
    <row r="1" spans="1:12">
      <c r="A1" s="173"/>
      <c r="B1" s="174" t="s">
        <v>187</v>
      </c>
      <c r="C1" s="165" t="str">
        <f>Kadar.ode.!C1</f>
        <v>Општа болница Алексинац</v>
      </c>
      <c r="D1" s="169"/>
      <c r="E1" s="169"/>
      <c r="F1" s="169"/>
      <c r="G1" s="171"/>
    </row>
    <row r="2" spans="1:12">
      <c r="A2" s="173"/>
      <c r="B2" s="174" t="s">
        <v>188</v>
      </c>
      <c r="C2" s="321">
        <f>Kadar.ode.!C2</f>
        <v>17862944</v>
      </c>
      <c r="D2" s="169"/>
      <c r="E2" s="169"/>
      <c r="F2" s="169"/>
      <c r="G2" s="171"/>
    </row>
    <row r="3" spans="1:12">
      <c r="A3" s="173"/>
      <c r="B3" s="174"/>
      <c r="C3" s="165"/>
      <c r="D3" s="169"/>
      <c r="E3" s="169"/>
      <c r="F3" s="169"/>
      <c r="G3" s="171"/>
    </row>
    <row r="4" spans="1:12" ht="14.25">
      <c r="A4" s="173"/>
      <c r="B4" s="174" t="s">
        <v>1819</v>
      </c>
      <c r="C4" s="166" t="s">
        <v>219</v>
      </c>
      <c r="D4" s="170"/>
      <c r="E4" s="170"/>
      <c r="F4" s="170"/>
      <c r="G4" s="172"/>
    </row>
    <row r="6" spans="1:12" ht="33.75" customHeight="1">
      <c r="A6" s="1853" t="s">
        <v>185</v>
      </c>
      <c r="B6" s="1853" t="s">
        <v>55</v>
      </c>
      <c r="C6" s="1855" t="s">
        <v>214</v>
      </c>
      <c r="D6" s="1856"/>
      <c r="E6" s="1846" t="s">
        <v>215</v>
      </c>
      <c r="F6" s="1846"/>
      <c r="G6" s="1846" t="s">
        <v>218</v>
      </c>
      <c r="H6" s="1846"/>
      <c r="I6" s="1846" t="s">
        <v>216</v>
      </c>
      <c r="J6" s="1846"/>
      <c r="K6" s="1846" t="s">
        <v>217</v>
      </c>
      <c r="L6" s="1846"/>
    </row>
    <row r="7" spans="1:12" ht="27.75" customHeight="1" thickBot="1">
      <c r="A7" s="1854"/>
      <c r="B7" s="1854"/>
      <c r="C7" s="97" t="s">
        <v>1</v>
      </c>
      <c r="D7" s="98" t="s">
        <v>0</v>
      </c>
      <c r="E7" s="209" t="s">
        <v>4078</v>
      </c>
      <c r="F7" s="209" t="s">
        <v>4071</v>
      </c>
      <c r="G7" s="209" t="s">
        <v>4078</v>
      </c>
      <c r="H7" s="209" t="s">
        <v>4071</v>
      </c>
      <c r="I7" s="209" t="s">
        <v>4078</v>
      </c>
      <c r="J7" s="209" t="s">
        <v>4071</v>
      </c>
      <c r="K7" s="209" t="s">
        <v>4078</v>
      </c>
      <c r="L7" s="209" t="s">
        <v>4071</v>
      </c>
    </row>
    <row r="8" spans="1:12" ht="13.5" thickTop="1">
      <c r="A8" s="205"/>
      <c r="B8" s="89"/>
      <c r="C8" s="137" t="s">
        <v>2</v>
      </c>
      <c r="D8" s="95">
        <v>46</v>
      </c>
      <c r="E8" s="1291">
        <v>1326</v>
      </c>
      <c r="F8" s="1670">
        <v>2020</v>
      </c>
      <c r="G8" s="1291">
        <v>7405</v>
      </c>
      <c r="H8" s="1212">
        <v>12591</v>
      </c>
      <c r="I8" s="1253">
        <f>G8/E8</f>
        <v>5.58446455505279</v>
      </c>
      <c r="J8" s="1253">
        <f>H8/F8</f>
        <v>6.2331683168316836</v>
      </c>
      <c r="K8" s="1253">
        <f>G8/(365*D8)*100</f>
        <v>44.103633114949375</v>
      </c>
      <c r="L8" s="1253">
        <f>H8/(365*D8)*100</f>
        <v>74.991066110780224</v>
      </c>
    </row>
    <row r="9" spans="1:12">
      <c r="A9" s="205">
        <v>110</v>
      </c>
      <c r="B9" s="363" t="s">
        <v>3401</v>
      </c>
      <c r="C9" s="138" t="s">
        <v>4</v>
      </c>
      <c r="D9" s="90">
        <v>3</v>
      </c>
      <c r="E9" s="1291">
        <v>327</v>
      </c>
      <c r="F9" s="1346">
        <v>300</v>
      </c>
      <c r="G9" s="1291">
        <v>927</v>
      </c>
      <c r="H9" s="1291">
        <v>821</v>
      </c>
      <c r="I9" s="1253">
        <f t="shared" ref="I9:J35" si="0">G9/E9</f>
        <v>2.834862385321101</v>
      </c>
      <c r="J9" s="1253">
        <f t="shared" si="0"/>
        <v>2.7366666666666668</v>
      </c>
      <c r="K9" s="1253">
        <f>G9/(365*D9)*100</f>
        <v>84.657534246575338</v>
      </c>
      <c r="L9" s="1253">
        <f>H9/(365*D9)*100</f>
        <v>74.977168949771695</v>
      </c>
    </row>
    <row r="10" spans="1:12">
      <c r="A10" s="205"/>
      <c r="B10" s="89"/>
      <c r="C10" s="138" t="s">
        <v>5</v>
      </c>
      <c r="D10" s="90">
        <v>10</v>
      </c>
      <c r="E10" s="1291">
        <v>470</v>
      </c>
      <c r="F10" s="1346">
        <v>700</v>
      </c>
      <c r="G10" s="1291">
        <v>1585</v>
      </c>
      <c r="H10" s="1291">
        <v>2737</v>
      </c>
      <c r="I10" s="1253">
        <f t="shared" si="0"/>
        <v>3.3723404255319149</v>
      </c>
      <c r="J10" s="1253">
        <f t="shared" si="0"/>
        <v>3.91</v>
      </c>
      <c r="K10" s="1253">
        <f>G10/(365*D10)*100</f>
        <v>43.424657534246577</v>
      </c>
      <c r="L10" s="1253">
        <f>H10/(365*D10)*100</f>
        <v>74.986301369863014</v>
      </c>
    </row>
    <row r="11" spans="1:12" ht="13.5" thickBot="1">
      <c r="A11" s="206"/>
      <c r="B11" s="91"/>
      <c r="C11" s="139" t="s">
        <v>9</v>
      </c>
      <c r="D11" s="92">
        <v>33</v>
      </c>
      <c r="E11" s="1292">
        <v>841</v>
      </c>
      <c r="F11" s="1292">
        <v>1700</v>
      </c>
      <c r="G11" s="1292">
        <v>4893</v>
      </c>
      <c r="H11" s="1292">
        <v>9003</v>
      </c>
      <c r="I11" s="841">
        <f t="shared" si="0"/>
        <v>5.8180737217598102</v>
      </c>
      <c r="J11" s="1254">
        <f t="shared" si="0"/>
        <v>5.2958823529411765</v>
      </c>
      <c r="K11" s="841">
        <f>G11/(365*D11)*100</f>
        <v>40.622665006226647</v>
      </c>
      <c r="L11" s="1254">
        <f>H11/(365*D11)*100</f>
        <v>74.744707347447076</v>
      </c>
    </row>
    <row r="12" spans="1:12" ht="13.5" thickTop="1">
      <c r="A12" s="205"/>
      <c r="B12" s="89"/>
      <c r="C12" s="140" t="s">
        <v>2</v>
      </c>
      <c r="D12" s="90">
        <v>29</v>
      </c>
      <c r="E12" s="90">
        <v>1121</v>
      </c>
      <c r="F12" s="1212">
        <v>1520</v>
      </c>
      <c r="G12" s="1291">
        <v>6021</v>
      </c>
      <c r="H12" s="1212">
        <v>8380</v>
      </c>
      <c r="I12" s="1255">
        <v>5.5370370370370372</v>
      </c>
      <c r="J12" s="1255">
        <v>5.5131578947368425</v>
      </c>
      <c r="K12" s="1253">
        <f>G12/(365*D12)*100</f>
        <v>56.882380727444492</v>
      </c>
      <c r="L12" s="1253">
        <f>H12/(365*D12)*100</f>
        <v>79.168634860651864</v>
      </c>
    </row>
    <row r="13" spans="1:12">
      <c r="A13" s="205">
        <v>420</v>
      </c>
      <c r="B13" s="363" t="s">
        <v>1860</v>
      </c>
      <c r="C13" s="138" t="s">
        <v>4</v>
      </c>
      <c r="D13" s="90">
        <v>1</v>
      </c>
      <c r="E13" s="90">
        <v>149</v>
      </c>
      <c r="F13" s="90">
        <v>235</v>
      </c>
      <c r="G13" s="90">
        <v>641</v>
      </c>
      <c r="H13" s="90">
        <v>990</v>
      </c>
      <c r="I13" s="1253">
        <v>4.2597402597402594</v>
      </c>
      <c r="J13" s="1253">
        <v>4.2127659574468082</v>
      </c>
      <c r="K13" s="1253">
        <f t="shared" ref="K13:K35" si="1">G13/(365*D13)*100</f>
        <v>175.61643835616439</v>
      </c>
      <c r="L13" s="1253">
        <f t="shared" ref="L13:L35" si="2">H13/(365*D13)*100</f>
        <v>271.23287671232879</v>
      </c>
    </row>
    <row r="14" spans="1:12">
      <c r="A14" s="205"/>
      <c r="B14" s="89"/>
      <c r="C14" s="138" t="s">
        <v>5</v>
      </c>
      <c r="D14" s="90">
        <v>2</v>
      </c>
      <c r="E14" s="90">
        <v>176</v>
      </c>
      <c r="F14" s="90">
        <v>341</v>
      </c>
      <c r="G14" s="90">
        <v>665</v>
      </c>
      <c r="H14" s="90">
        <v>770</v>
      </c>
      <c r="I14" s="1253">
        <v>2.436950146627566</v>
      </c>
      <c r="J14" s="1253">
        <v>2.2580645161290325</v>
      </c>
      <c r="K14" s="1253">
        <f t="shared" si="1"/>
        <v>91.095890410958901</v>
      </c>
      <c r="L14" s="1253">
        <f t="shared" si="2"/>
        <v>105.47945205479452</v>
      </c>
    </row>
    <row r="15" spans="1:12" ht="13.5" thickBot="1">
      <c r="A15" s="206"/>
      <c r="B15" s="91"/>
      <c r="C15" s="139" t="s">
        <v>9</v>
      </c>
      <c r="D15" s="92">
        <v>26</v>
      </c>
      <c r="E15" s="92">
        <v>806</v>
      </c>
      <c r="F15" s="92">
        <v>1350</v>
      </c>
      <c r="G15" s="92">
        <v>4715</v>
      </c>
      <c r="H15" s="92">
        <v>6560</v>
      </c>
      <c r="I15" s="841">
        <v>4.8534418948926721</v>
      </c>
      <c r="J15" s="1254">
        <v>4.8592592592592592</v>
      </c>
      <c r="K15" s="841">
        <f t="shared" si="1"/>
        <v>49.683877766069543</v>
      </c>
      <c r="L15" s="1254">
        <f t="shared" si="2"/>
        <v>69.125395152792407</v>
      </c>
    </row>
    <row r="16" spans="1:12" ht="13.5" thickTop="1">
      <c r="A16" s="205"/>
      <c r="B16" s="89"/>
      <c r="C16" s="140" t="s">
        <v>2</v>
      </c>
      <c r="D16" s="90">
        <v>8</v>
      </c>
      <c r="E16" s="90">
        <v>551</v>
      </c>
      <c r="F16" s="1212">
        <v>505</v>
      </c>
      <c r="G16" s="90">
        <v>3363</v>
      </c>
      <c r="H16" s="1212">
        <v>3415</v>
      </c>
      <c r="I16" s="1255">
        <f t="shared" si="0"/>
        <v>6.1034482758620694</v>
      </c>
      <c r="J16" s="1255">
        <f t="shared" si="0"/>
        <v>6.7623762376237622</v>
      </c>
      <c r="K16" s="1253">
        <f t="shared" si="1"/>
        <v>115.17123287671234</v>
      </c>
      <c r="L16" s="1253">
        <f t="shared" si="2"/>
        <v>116.95205479452055</v>
      </c>
    </row>
    <row r="17" spans="1:12">
      <c r="A17" s="205">
        <v>421</v>
      </c>
      <c r="B17" s="363" t="s">
        <v>1772</v>
      </c>
      <c r="C17" s="138" t="s">
        <v>4</v>
      </c>
      <c r="D17" s="90">
        <v>1</v>
      </c>
      <c r="E17" s="90">
        <v>280</v>
      </c>
      <c r="F17" s="90">
        <v>190</v>
      </c>
      <c r="G17" s="90">
        <v>760</v>
      </c>
      <c r="H17" s="90">
        <v>500</v>
      </c>
      <c r="I17" s="1253">
        <f t="shared" si="0"/>
        <v>2.7142857142857144</v>
      </c>
      <c r="J17" s="1253">
        <f t="shared" si="0"/>
        <v>2.6315789473684212</v>
      </c>
      <c r="K17" s="1253">
        <f t="shared" si="1"/>
        <v>208.21917808219177</v>
      </c>
      <c r="L17" s="1253">
        <f t="shared" si="2"/>
        <v>136.98630136986301</v>
      </c>
    </row>
    <row r="18" spans="1:12">
      <c r="A18" s="205"/>
      <c r="B18" s="89"/>
      <c r="C18" s="138" t="s">
        <v>5</v>
      </c>
      <c r="D18" s="90">
        <v>1</v>
      </c>
      <c r="E18" s="90">
        <v>316</v>
      </c>
      <c r="F18" s="90">
        <v>220</v>
      </c>
      <c r="G18" s="90">
        <v>786</v>
      </c>
      <c r="H18" s="90">
        <v>700</v>
      </c>
      <c r="I18" s="1253">
        <f t="shared" si="0"/>
        <v>2.4873417721518987</v>
      </c>
      <c r="J18" s="1253">
        <f t="shared" si="0"/>
        <v>3.1818181818181817</v>
      </c>
      <c r="K18" s="1253">
        <f t="shared" si="1"/>
        <v>215.34246575342465</v>
      </c>
      <c r="L18" s="1253">
        <f t="shared" si="2"/>
        <v>191.7808219178082</v>
      </c>
    </row>
    <row r="19" spans="1:12" ht="13.5" thickBot="1">
      <c r="A19" s="206"/>
      <c r="B19" s="91"/>
      <c r="C19" s="139" t="s">
        <v>9</v>
      </c>
      <c r="D19" s="92">
        <v>6</v>
      </c>
      <c r="E19" s="92">
        <v>450</v>
      </c>
      <c r="F19" s="92">
        <v>405</v>
      </c>
      <c r="G19" s="92">
        <v>1817</v>
      </c>
      <c r="H19" s="92">
        <v>2020</v>
      </c>
      <c r="I19" s="841">
        <f t="shared" si="0"/>
        <v>4.0377777777777775</v>
      </c>
      <c r="J19" s="1254">
        <f t="shared" si="0"/>
        <v>4.9876543209876543</v>
      </c>
      <c r="K19" s="841">
        <f t="shared" si="1"/>
        <v>82.968036529680361</v>
      </c>
      <c r="L19" s="1254">
        <f t="shared" si="2"/>
        <v>92.237442922374427</v>
      </c>
    </row>
    <row r="20" spans="1:12" ht="13.5" thickTop="1">
      <c r="A20" s="205"/>
      <c r="B20" s="89"/>
      <c r="C20" s="140" t="s">
        <v>2</v>
      </c>
      <c r="D20" s="837">
        <v>5</v>
      </c>
      <c r="E20" s="837">
        <v>183</v>
      </c>
      <c r="F20" s="836">
        <v>250</v>
      </c>
      <c r="G20" s="1347">
        <v>896</v>
      </c>
      <c r="H20" s="836">
        <v>1350</v>
      </c>
      <c r="I20" s="838">
        <f t="shared" si="0"/>
        <v>4.8961748633879782</v>
      </c>
      <c r="J20" s="838">
        <f t="shared" si="0"/>
        <v>5.4</v>
      </c>
      <c r="K20" s="838">
        <f t="shared" si="1"/>
        <v>49.095890410958901</v>
      </c>
      <c r="L20" s="838">
        <f t="shared" si="2"/>
        <v>73.972602739726028</v>
      </c>
    </row>
    <row r="21" spans="1:12">
      <c r="A21" s="205">
        <v>422</v>
      </c>
      <c r="B21" s="363" t="s">
        <v>1771</v>
      </c>
      <c r="C21" s="138" t="s">
        <v>4</v>
      </c>
      <c r="D21" s="96">
        <v>1</v>
      </c>
      <c r="E21" s="96">
        <v>25</v>
      </c>
      <c r="F21" s="96">
        <v>35</v>
      </c>
      <c r="G21" s="96">
        <v>89</v>
      </c>
      <c r="H21" s="96">
        <v>110</v>
      </c>
      <c r="I21" s="839">
        <f t="shared" si="0"/>
        <v>3.56</v>
      </c>
      <c r="J21" s="839">
        <f t="shared" si="0"/>
        <v>3.1428571428571428</v>
      </c>
      <c r="K21" s="839">
        <f t="shared" si="1"/>
        <v>24.383561643835616</v>
      </c>
      <c r="L21" s="839">
        <f t="shared" si="2"/>
        <v>30.136986301369863</v>
      </c>
    </row>
    <row r="22" spans="1:12">
      <c r="A22" s="205"/>
      <c r="B22" s="89"/>
      <c r="C22" s="138" t="s">
        <v>5</v>
      </c>
      <c r="D22" s="96">
        <v>1</v>
      </c>
      <c r="E22" s="96">
        <v>43</v>
      </c>
      <c r="F22" s="96">
        <v>70</v>
      </c>
      <c r="G22" s="96">
        <v>93</v>
      </c>
      <c r="H22" s="96">
        <v>180</v>
      </c>
      <c r="I22" s="839">
        <f t="shared" si="0"/>
        <v>2.1627906976744184</v>
      </c>
      <c r="J22" s="839">
        <f t="shared" si="0"/>
        <v>2.5714285714285716</v>
      </c>
      <c r="K22" s="839">
        <f t="shared" si="1"/>
        <v>25.479452054794521</v>
      </c>
      <c r="L22" s="839">
        <f t="shared" si="2"/>
        <v>49.315068493150683</v>
      </c>
    </row>
    <row r="23" spans="1:12" ht="13.5" thickBot="1">
      <c r="A23" s="206"/>
      <c r="B23" s="91"/>
      <c r="C23" s="139" t="s">
        <v>9</v>
      </c>
      <c r="D23" s="840">
        <v>3</v>
      </c>
      <c r="E23" s="840">
        <v>153</v>
      </c>
      <c r="F23" s="840">
        <v>240</v>
      </c>
      <c r="G23" s="840">
        <v>714</v>
      </c>
      <c r="H23" s="840">
        <v>1089</v>
      </c>
      <c r="I23" s="841">
        <f t="shared" si="0"/>
        <v>4.666666666666667</v>
      </c>
      <c r="J23" s="841">
        <f t="shared" si="0"/>
        <v>4.5374999999999996</v>
      </c>
      <c r="K23" s="841">
        <f t="shared" si="1"/>
        <v>65.205479452054789</v>
      </c>
      <c r="L23" s="841">
        <f t="shared" si="2"/>
        <v>99.452054794520549</v>
      </c>
    </row>
    <row r="24" spans="1:12" ht="13.5" thickTop="1">
      <c r="A24" s="205"/>
      <c r="B24" s="89"/>
      <c r="C24" s="140" t="s">
        <v>2</v>
      </c>
      <c r="D24" s="90">
        <v>32</v>
      </c>
      <c r="E24" s="90">
        <v>508</v>
      </c>
      <c r="F24" s="1671">
        <v>1395</v>
      </c>
      <c r="G24" s="1291">
        <v>2269</v>
      </c>
      <c r="H24" s="1671">
        <v>8000</v>
      </c>
      <c r="I24" s="1255">
        <f t="shared" si="0"/>
        <v>4.4665354330708658</v>
      </c>
      <c r="J24" s="1255">
        <f t="shared" si="0"/>
        <v>5.7347670250896057</v>
      </c>
      <c r="K24" s="1253">
        <f t="shared" si="1"/>
        <v>19.426369863013697</v>
      </c>
      <c r="L24" s="1253">
        <f t="shared" si="2"/>
        <v>68.493150684931507</v>
      </c>
    </row>
    <row r="25" spans="1:12">
      <c r="A25" s="205">
        <v>210</v>
      </c>
      <c r="B25" s="1673" t="s">
        <v>3393</v>
      </c>
      <c r="C25" s="138" t="s">
        <v>4</v>
      </c>
      <c r="D25" s="90">
        <v>2</v>
      </c>
      <c r="E25" s="90">
        <v>90</v>
      </c>
      <c r="F25" s="1025">
        <v>360</v>
      </c>
      <c r="G25" s="90">
        <v>236</v>
      </c>
      <c r="H25" s="1052">
        <v>725</v>
      </c>
      <c r="I25" s="1253">
        <f t="shared" si="0"/>
        <v>2.6222222222222222</v>
      </c>
      <c r="J25" s="1253">
        <f t="shared" si="0"/>
        <v>2.0138888888888888</v>
      </c>
      <c r="K25" s="1253">
        <f t="shared" si="1"/>
        <v>32.328767123287669</v>
      </c>
      <c r="L25" s="1253">
        <f t="shared" si="2"/>
        <v>99.315068493150676</v>
      </c>
    </row>
    <row r="26" spans="1:12">
      <c r="A26" s="205"/>
      <c r="B26" s="89"/>
      <c r="C26" s="138" t="s">
        <v>5</v>
      </c>
      <c r="D26" s="90">
        <v>6</v>
      </c>
      <c r="E26" s="90">
        <v>167</v>
      </c>
      <c r="F26" s="1025">
        <v>220</v>
      </c>
      <c r="G26" s="90">
        <v>325</v>
      </c>
      <c r="H26" s="1052">
        <v>1275</v>
      </c>
      <c r="I26" s="1253">
        <f t="shared" si="0"/>
        <v>1.9461077844311376</v>
      </c>
      <c r="J26" s="1253">
        <f t="shared" si="0"/>
        <v>5.7954545454545459</v>
      </c>
      <c r="K26" s="1253">
        <f t="shared" si="1"/>
        <v>14.840182648401825</v>
      </c>
      <c r="L26" s="1253">
        <f t="shared" si="2"/>
        <v>58.219178082191782</v>
      </c>
    </row>
    <row r="27" spans="1:12" ht="13.5" thickBot="1">
      <c r="A27" s="206"/>
      <c r="B27" s="91"/>
      <c r="C27" s="139" t="s">
        <v>9</v>
      </c>
      <c r="D27" s="92">
        <v>24</v>
      </c>
      <c r="E27" s="92">
        <v>406</v>
      </c>
      <c r="F27" s="1026">
        <v>850</v>
      </c>
      <c r="G27" s="92">
        <v>1708</v>
      </c>
      <c r="H27" s="1053">
        <v>6000</v>
      </c>
      <c r="I27" s="841">
        <f t="shared" si="0"/>
        <v>4.2068965517241379</v>
      </c>
      <c r="J27" s="1254">
        <f t="shared" si="0"/>
        <v>7.0588235294117645</v>
      </c>
      <c r="K27" s="841">
        <f t="shared" si="1"/>
        <v>19.497716894977167</v>
      </c>
      <c r="L27" s="1254">
        <f t="shared" si="2"/>
        <v>68.493150684931507</v>
      </c>
    </row>
    <row r="28" spans="1:12" ht="13.5" thickTop="1">
      <c r="A28" s="207"/>
      <c r="B28" s="93"/>
      <c r="C28" s="141" t="s">
        <v>2</v>
      </c>
      <c r="D28" s="94">
        <v>15</v>
      </c>
      <c r="E28" s="94">
        <v>251</v>
      </c>
      <c r="F28" s="1672">
        <v>650</v>
      </c>
      <c r="G28" s="1290">
        <v>1115</v>
      </c>
      <c r="H28" s="1672">
        <v>3850</v>
      </c>
      <c r="I28" s="1255">
        <f t="shared" si="0"/>
        <v>4.4422310756972108</v>
      </c>
      <c r="J28" s="1255">
        <f t="shared" si="0"/>
        <v>5.9230769230769234</v>
      </c>
      <c r="K28" s="1253">
        <f t="shared" si="1"/>
        <v>20.365296803652967</v>
      </c>
      <c r="L28" s="1253">
        <f t="shared" si="2"/>
        <v>70.319634703196343</v>
      </c>
    </row>
    <row r="29" spans="1:12">
      <c r="A29" s="205">
        <v>310</v>
      </c>
      <c r="B29" s="363" t="s">
        <v>3402</v>
      </c>
      <c r="C29" s="138" t="s">
        <v>4</v>
      </c>
      <c r="D29" s="90">
        <v>0</v>
      </c>
      <c r="E29" s="1291"/>
      <c r="F29" s="1291"/>
      <c r="G29" s="1291"/>
      <c r="H29" s="1291"/>
      <c r="I29" s="1253" t="e">
        <f t="shared" si="0"/>
        <v>#DIV/0!</v>
      </c>
      <c r="J29" s="1253" t="e">
        <f t="shared" si="0"/>
        <v>#DIV/0!</v>
      </c>
      <c r="K29" s="1253" t="e">
        <f t="shared" si="1"/>
        <v>#DIV/0!</v>
      </c>
      <c r="L29" s="1253" t="e">
        <f t="shared" si="2"/>
        <v>#DIV/0!</v>
      </c>
    </row>
    <row r="30" spans="1:12">
      <c r="A30" s="205"/>
      <c r="B30" s="89"/>
      <c r="C30" s="138" t="s">
        <v>5</v>
      </c>
      <c r="D30" s="90">
        <v>3</v>
      </c>
      <c r="E30" s="1291">
        <v>237</v>
      </c>
      <c r="F30" s="1291">
        <v>535</v>
      </c>
      <c r="G30" s="1291">
        <v>542</v>
      </c>
      <c r="H30" s="1291">
        <v>1050</v>
      </c>
      <c r="I30" s="1253">
        <f t="shared" si="0"/>
        <v>2.2869198312236287</v>
      </c>
      <c r="J30" s="1253">
        <f t="shared" si="0"/>
        <v>1.9626168224299065</v>
      </c>
      <c r="K30" s="1253">
        <f t="shared" si="1"/>
        <v>49.497716894977167</v>
      </c>
      <c r="L30" s="1253">
        <f t="shared" si="2"/>
        <v>95.890410958904098</v>
      </c>
    </row>
    <row r="31" spans="1:12" ht="13.5" thickBot="1">
      <c r="A31" s="206"/>
      <c r="B31" s="91"/>
      <c r="C31" s="139" t="s">
        <v>9</v>
      </c>
      <c r="D31" s="92">
        <v>12</v>
      </c>
      <c r="E31" s="1292">
        <v>212</v>
      </c>
      <c r="F31" s="1292">
        <v>530</v>
      </c>
      <c r="G31" s="1292">
        <v>573</v>
      </c>
      <c r="H31" s="1292">
        <v>2800</v>
      </c>
      <c r="I31" s="841">
        <f t="shared" si="0"/>
        <v>2.7028301886792452</v>
      </c>
      <c r="J31" s="1254">
        <f t="shared" si="0"/>
        <v>5.283018867924528</v>
      </c>
      <c r="K31" s="841">
        <f t="shared" si="1"/>
        <v>13.082191780821917</v>
      </c>
      <c r="L31" s="1254">
        <f t="shared" si="2"/>
        <v>63.926940639269404</v>
      </c>
    </row>
    <row r="32" spans="1:12" ht="13.5" thickTop="1">
      <c r="A32" s="1847" t="s">
        <v>3</v>
      </c>
      <c r="B32" s="1848"/>
      <c r="C32" s="137" t="s">
        <v>2</v>
      </c>
      <c r="D32" s="836">
        <f t="shared" ref="D32:H35" si="3">D8+D12+D16+D20+D24+D28</f>
        <v>135</v>
      </c>
      <c r="E32" s="836">
        <f t="shared" si="3"/>
        <v>3940</v>
      </c>
      <c r="F32" s="836">
        <f t="shared" si="3"/>
        <v>6340</v>
      </c>
      <c r="G32" s="836">
        <f t="shared" si="3"/>
        <v>21069</v>
      </c>
      <c r="H32" s="836">
        <f t="shared" si="3"/>
        <v>37586</v>
      </c>
      <c r="I32" s="1255">
        <f t="shared" si="0"/>
        <v>5.3474619289340097</v>
      </c>
      <c r="J32" s="1255">
        <f t="shared" si="0"/>
        <v>5.9283911671924292</v>
      </c>
      <c r="K32" s="1253">
        <f t="shared" si="1"/>
        <v>42.757990867579906</v>
      </c>
      <c r="L32" s="1253">
        <f t="shared" si="2"/>
        <v>76.278031456113652</v>
      </c>
    </row>
    <row r="33" spans="1:12">
      <c r="A33" s="1849"/>
      <c r="B33" s="1850"/>
      <c r="C33" s="138" t="s">
        <v>4</v>
      </c>
      <c r="D33" s="836">
        <f t="shared" si="3"/>
        <v>8</v>
      </c>
      <c r="E33" s="836">
        <f t="shared" si="3"/>
        <v>871</v>
      </c>
      <c r="F33" s="836">
        <f t="shared" si="3"/>
        <v>1120</v>
      </c>
      <c r="G33" s="836">
        <f t="shared" si="3"/>
        <v>2653</v>
      </c>
      <c r="H33" s="836">
        <f t="shared" si="3"/>
        <v>3146</v>
      </c>
      <c r="I33" s="1253">
        <f t="shared" si="0"/>
        <v>3.0459242250287026</v>
      </c>
      <c r="J33" s="1253">
        <f t="shared" si="0"/>
        <v>2.8089285714285714</v>
      </c>
      <c r="K33" s="1253">
        <f t="shared" si="1"/>
        <v>90.856164383561648</v>
      </c>
      <c r="L33" s="1253">
        <f t="shared" si="2"/>
        <v>107.73972602739725</v>
      </c>
    </row>
    <row r="34" spans="1:12">
      <c r="A34" s="1849"/>
      <c r="B34" s="1850"/>
      <c r="C34" s="138" t="s">
        <v>5</v>
      </c>
      <c r="D34" s="836">
        <f t="shared" si="3"/>
        <v>23</v>
      </c>
      <c r="E34" s="836">
        <f t="shared" si="3"/>
        <v>1409</v>
      </c>
      <c r="F34" s="836">
        <f t="shared" si="3"/>
        <v>2086</v>
      </c>
      <c r="G34" s="836">
        <f t="shared" si="3"/>
        <v>3996</v>
      </c>
      <c r="H34" s="836">
        <f t="shared" si="3"/>
        <v>6712</v>
      </c>
      <c r="I34" s="1253">
        <f t="shared" si="0"/>
        <v>2.8360539389638042</v>
      </c>
      <c r="J34" s="1253">
        <f t="shared" si="0"/>
        <v>3.217641418983701</v>
      </c>
      <c r="K34" s="1253">
        <f t="shared" si="1"/>
        <v>47.599761762954138</v>
      </c>
      <c r="L34" s="1253">
        <f t="shared" si="2"/>
        <v>79.952352590827871</v>
      </c>
    </row>
    <row r="35" spans="1:12">
      <c r="A35" s="1851"/>
      <c r="B35" s="1852"/>
      <c r="C35" s="208" t="s">
        <v>9</v>
      </c>
      <c r="D35" s="836">
        <f t="shared" si="3"/>
        <v>104</v>
      </c>
      <c r="E35" s="836">
        <f t="shared" si="3"/>
        <v>2868</v>
      </c>
      <c r="F35" s="836">
        <f t="shared" si="3"/>
        <v>5075</v>
      </c>
      <c r="G35" s="836">
        <f t="shared" si="3"/>
        <v>14420</v>
      </c>
      <c r="H35" s="836">
        <f t="shared" si="3"/>
        <v>27472</v>
      </c>
      <c r="I35" s="839">
        <f t="shared" si="0"/>
        <v>5.0278940027894006</v>
      </c>
      <c r="J35" s="1256">
        <f t="shared" si="0"/>
        <v>5.4132019704433496</v>
      </c>
      <c r="K35" s="839">
        <f t="shared" si="1"/>
        <v>37.987355110642781</v>
      </c>
      <c r="L35" s="1256">
        <f t="shared" si="2"/>
        <v>72.370916754478401</v>
      </c>
    </row>
  </sheetData>
  <mergeCells count="8">
    <mergeCell ref="K6:L6"/>
    <mergeCell ref="A32:B35"/>
    <mergeCell ref="A6:A7"/>
    <mergeCell ref="B6:B7"/>
    <mergeCell ref="C6:D6"/>
    <mergeCell ref="E6:F6"/>
    <mergeCell ref="G6:H6"/>
    <mergeCell ref="I6:J6"/>
  </mergeCells>
  <phoneticPr fontId="15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view="pageBreakPreview" zoomScaleSheetLayoutView="100" workbookViewId="0">
      <selection activeCell="J18" sqref="J18"/>
    </sheetView>
  </sheetViews>
  <sheetFormatPr defaultRowHeight="12.75"/>
  <cols>
    <col min="1" max="1" width="8.140625" style="2" customWidth="1"/>
    <col min="2" max="2" width="24.140625" style="2" customWidth="1"/>
    <col min="3" max="3" width="12.5703125" style="2" customWidth="1"/>
    <col min="4" max="7" width="9.7109375" style="2" customWidth="1"/>
    <col min="8" max="16384" width="9.140625" style="2"/>
  </cols>
  <sheetData>
    <row r="1" spans="1:7" s="1" customFormat="1">
      <c r="A1" s="173"/>
      <c r="B1" s="174" t="s">
        <v>187</v>
      </c>
      <c r="C1" s="321" t="str">
        <f>Kadar.ode.!C1</f>
        <v>Општа болница Алексинац</v>
      </c>
      <c r="D1" s="169"/>
      <c r="E1" s="169"/>
      <c r="F1" s="169"/>
      <c r="G1" s="171"/>
    </row>
    <row r="2" spans="1:7">
      <c r="A2" s="173"/>
      <c r="B2" s="174" t="s">
        <v>188</v>
      </c>
      <c r="C2" s="321">
        <f>Kadar.ode.!C2</f>
        <v>17862944</v>
      </c>
      <c r="D2" s="169"/>
      <c r="E2" s="169"/>
      <c r="F2" s="169"/>
      <c r="G2" s="171"/>
    </row>
    <row r="3" spans="1:7">
      <c r="A3" s="173"/>
      <c r="B3" s="174"/>
      <c r="C3" s="165"/>
      <c r="D3" s="169"/>
      <c r="E3" s="169"/>
      <c r="F3" s="169"/>
      <c r="G3" s="171"/>
    </row>
    <row r="4" spans="1:7" ht="15.75" customHeight="1">
      <c r="A4" s="173"/>
      <c r="B4" s="174" t="s">
        <v>1820</v>
      </c>
      <c r="C4" s="166" t="s">
        <v>220</v>
      </c>
      <c r="D4" s="170"/>
      <c r="E4" s="170"/>
      <c r="F4" s="170"/>
      <c r="G4" s="172"/>
    </row>
    <row r="6" spans="1:7" ht="34.5" customHeight="1">
      <c r="A6" s="1858" t="s">
        <v>185</v>
      </c>
      <c r="B6" s="1857" t="s">
        <v>55</v>
      </c>
      <c r="C6" s="1857" t="s">
        <v>186</v>
      </c>
      <c r="D6" s="1857" t="s">
        <v>330</v>
      </c>
      <c r="E6" s="1857"/>
      <c r="F6" s="1857" t="s">
        <v>227</v>
      </c>
      <c r="G6" s="1857"/>
    </row>
    <row r="7" spans="1:7" ht="35.25" customHeight="1">
      <c r="A7" s="1858"/>
      <c r="B7" s="1857"/>
      <c r="C7" s="1857"/>
      <c r="D7" s="132" t="s">
        <v>4078</v>
      </c>
      <c r="E7" s="132" t="s">
        <v>4071</v>
      </c>
      <c r="F7" s="132" t="s">
        <v>4078</v>
      </c>
      <c r="G7" s="132" t="s">
        <v>4071</v>
      </c>
    </row>
    <row r="8" spans="1:7" ht="24.95" customHeight="1">
      <c r="A8" s="184">
        <v>310</v>
      </c>
      <c r="B8" s="222" t="s">
        <v>1892</v>
      </c>
      <c r="C8" s="184">
        <v>8</v>
      </c>
      <c r="D8" s="184">
        <v>190</v>
      </c>
      <c r="E8" s="184">
        <v>310</v>
      </c>
      <c r="F8" s="1279">
        <v>850</v>
      </c>
      <c r="G8" s="184">
        <v>2050</v>
      </c>
    </row>
    <row r="9" spans="1:7" ht="24.95" customHeight="1">
      <c r="A9" s="184"/>
      <c r="B9" s="222"/>
      <c r="C9" s="100"/>
      <c r="D9" s="100"/>
      <c r="E9" s="88"/>
      <c r="F9" s="102"/>
      <c r="G9" s="88"/>
    </row>
    <row r="10" spans="1:7" ht="24.95" customHeight="1">
      <c r="A10" s="223"/>
      <c r="B10" s="222"/>
      <c r="C10" s="100"/>
      <c r="D10" s="100"/>
      <c r="E10" s="88"/>
      <c r="F10" s="102"/>
      <c r="G10" s="88"/>
    </row>
    <row r="11" spans="1:7" ht="24.95" customHeight="1">
      <c r="A11" s="184"/>
      <c r="B11" s="222"/>
      <c r="C11" s="100"/>
      <c r="D11" s="100"/>
      <c r="E11" s="88"/>
      <c r="F11" s="102"/>
      <c r="G11" s="88"/>
    </row>
    <row r="12" spans="1:7" ht="24.95" customHeight="1">
      <c r="A12" s="184"/>
      <c r="B12" s="222"/>
      <c r="C12" s="100"/>
      <c r="D12" s="100"/>
      <c r="E12" s="88"/>
      <c r="F12" s="102"/>
      <c r="G12" s="88"/>
    </row>
    <row r="13" spans="1:7" ht="24.95" customHeight="1">
      <c r="A13" s="184"/>
      <c r="B13" s="222"/>
      <c r="C13" s="100"/>
      <c r="D13" s="100"/>
      <c r="E13" s="88"/>
      <c r="F13" s="102"/>
      <c r="G13" s="88"/>
    </row>
    <row r="14" spans="1:7" ht="24.95" customHeight="1">
      <c r="A14" s="184"/>
      <c r="B14" s="222"/>
      <c r="C14" s="100"/>
      <c r="D14" s="100"/>
      <c r="E14" s="88"/>
      <c r="F14" s="102"/>
      <c r="G14" s="88"/>
    </row>
    <row r="15" spans="1:7" ht="24.95" customHeight="1">
      <c r="A15" s="184"/>
      <c r="B15" s="222"/>
      <c r="C15" s="100"/>
      <c r="D15" s="100"/>
      <c r="E15" s="88"/>
      <c r="F15" s="102"/>
      <c r="G15" s="88"/>
    </row>
    <row r="16" spans="1:7" ht="24.95" customHeight="1">
      <c r="A16" s="184"/>
      <c r="B16" s="222"/>
      <c r="C16" s="100"/>
      <c r="D16" s="100"/>
      <c r="E16" s="88"/>
      <c r="F16" s="102"/>
      <c r="G16" s="88"/>
    </row>
    <row r="17" spans="1:7" ht="24.95" customHeight="1">
      <c r="A17" s="184"/>
      <c r="B17" s="222"/>
      <c r="C17" s="100"/>
      <c r="D17" s="100"/>
      <c r="E17" s="88"/>
      <c r="F17" s="102"/>
      <c r="G17" s="88"/>
    </row>
    <row r="18" spans="1:7" ht="24.95" customHeight="1">
      <c r="A18" s="1859" t="s">
        <v>87</v>
      </c>
      <c r="B18" s="1859"/>
      <c r="C18" s="468">
        <f>C8</f>
        <v>8</v>
      </c>
      <c r="D18" s="468">
        <f>D8</f>
        <v>190</v>
      </c>
      <c r="E18" s="468">
        <f>E8</f>
        <v>310</v>
      </c>
      <c r="F18" s="468">
        <f>F8</f>
        <v>850</v>
      </c>
      <c r="G18" s="468">
        <f>G8</f>
        <v>2050</v>
      </c>
    </row>
  </sheetData>
  <mergeCells count="6">
    <mergeCell ref="F6:G6"/>
    <mergeCell ref="A6:A7"/>
    <mergeCell ref="A18:B18"/>
    <mergeCell ref="B6:B7"/>
    <mergeCell ref="C6:C7"/>
    <mergeCell ref="D6:E6"/>
  </mergeCells>
  <phoneticPr fontId="15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16</vt:i4>
      </vt:variant>
    </vt:vector>
  </HeadingPairs>
  <TitlesOfParts>
    <vt:vector size="42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Korišćenje_Covid-19</vt:lpstr>
      <vt:lpstr>Kapaciteti i korišćenje</vt:lpstr>
      <vt:lpstr>Pratioci</vt:lpstr>
      <vt:lpstr>Dnevne.bolnice</vt:lpstr>
      <vt:lpstr>Neonatologija</vt:lpstr>
      <vt:lpstr>Operacije</vt:lpstr>
      <vt:lpstr>Pregledi RFZO</vt:lpstr>
      <vt:lpstr>DSG</vt:lpstr>
      <vt:lpstr>Usluge RFZO</vt:lpstr>
      <vt:lpstr>Дневна болница</vt:lpstr>
      <vt:lpstr>Физикална и рех</vt:lpstr>
      <vt:lpstr>Dijagnostika</vt:lpstr>
      <vt:lpstr>Lab</vt:lpstr>
      <vt:lpstr>Dijalize</vt:lpstr>
      <vt:lpstr>Krv</vt:lpstr>
      <vt:lpstr>LEKOVI</vt:lpstr>
      <vt:lpstr>IMPLANTANTI</vt:lpstr>
      <vt:lpstr>Sanitet. mat</vt:lpstr>
      <vt:lpstr>Liste.čekanja 2023</vt:lpstr>
      <vt:lpstr>Zbirno_usluge</vt:lpstr>
      <vt:lpstr>Kadar.nem.!Print_Area</vt:lpstr>
      <vt:lpstr>'Kadar.zbirno '!Print_Area</vt:lpstr>
      <vt:lpstr>'Korišćenje_Covid-19'!Print_Area</vt:lpstr>
      <vt:lpstr>Krv!Print_Area</vt:lpstr>
      <vt:lpstr>Lab!Print_Area</vt:lpstr>
      <vt:lpstr>LEKOVI!Print_Area</vt:lpstr>
      <vt:lpstr>'Liste.čekanja 2023'!Print_Area</vt:lpstr>
      <vt:lpstr>Neonatologija!Print_Area</vt:lpstr>
      <vt:lpstr>'Sanitet. mat'!Print_Area</vt:lpstr>
      <vt:lpstr>'Usluge RFZO'!Print_Area</vt:lpstr>
      <vt:lpstr>Zbirno_usluge!Print_Area</vt:lpstr>
      <vt:lpstr>'Дневна болница'!Print_Area</vt:lpstr>
      <vt:lpstr>Dijagnostika!Print_Titles</vt:lpstr>
      <vt:lpstr>Kadar.zaj.med.del.!Print_Titles</vt:lpstr>
      <vt:lpstr>Lab!Print_Titles</vt:lpstr>
      <vt:lpstr>'Liste.čekanja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2023-01-20T09:40:44Z</cp:lastPrinted>
  <dcterms:created xsi:type="dcterms:W3CDTF">1998-03-25T08:50:17Z</dcterms:created>
  <dcterms:modified xsi:type="dcterms:W3CDTF">2023-01-20T13:09:05Z</dcterms:modified>
</cp:coreProperties>
</file>